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e\Desktop\"/>
    </mc:Choice>
  </mc:AlternateContent>
  <xr:revisionPtr revIDLastSave="0" documentId="13_ncr:1_{36DAE280-F3FE-4B58-BD04-81932898D341}" xr6:coauthVersionLast="47" xr6:coauthVersionMax="47" xr10:uidLastSave="{00000000-0000-0000-0000-000000000000}"/>
  <workbookProtection workbookAlgorithmName="SHA-512" workbookHashValue="mT5/IWtBIayw3V2YLcw/TjEXU7O/BUyVqkxbUFMKs1d3/kJuUeRAxfyJiG3pFMR3/9pWDliI+J+do2t7Qnr4pA==" workbookSaltValue="m/JDN7y3HB+E8yWOljLuyA==" workbookSpinCount="100000" lockStructure="1"/>
  <bookViews>
    <workbookView xWindow="-108" yWindow="-108" windowWidth="23256" windowHeight="12456" firstSheet="4" activeTab="9" xr2:uid="{B7901F4C-A4EC-4059-AC7B-21E228F8EF01}"/>
  </bookViews>
  <sheets>
    <sheet name="August 11 2022" sheetId="1" r:id="rId1"/>
    <sheet name="September 01 2022" sheetId="2" r:id="rId2"/>
    <sheet name="October 01 2022" sheetId="3" r:id="rId3"/>
    <sheet name="November 01 2022" sheetId="4" r:id="rId4"/>
    <sheet name="December 01, 2022" sheetId="5" r:id="rId5"/>
    <sheet name="January, 2023" sheetId="6" r:id="rId6"/>
    <sheet name="February, 2023" sheetId="7" r:id="rId7"/>
    <sheet name="March, 2023" sheetId="8" r:id="rId8"/>
    <sheet name="April, 2023" sheetId="9" r:id="rId9"/>
    <sheet name="May, 2023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9" l="1"/>
  <c r="B26" i="10"/>
  <c r="C14" i="10"/>
  <c r="J12" i="10"/>
  <c r="I12" i="10"/>
  <c r="H12" i="10"/>
  <c r="F12" i="10"/>
  <c r="E12" i="10"/>
  <c r="O11" i="10"/>
  <c r="K11" i="10"/>
  <c r="I11" i="10"/>
  <c r="J11" i="10" s="1"/>
  <c r="F11" i="10"/>
  <c r="E11" i="10"/>
  <c r="O10" i="10"/>
  <c r="I10" i="10"/>
  <c r="J10" i="10" s="1"/>
  <c r="F10" i="10"/>
  <c r="K10" i="10" s="1"/>
  <c r="E10" i="10"/>
  <c r="S9" i="10"/>
  <c r="O9" i="10"/>
  <c r="K9" i="10"/>
  <c r="I9" i="10"/>
  <c r="J9" i="10" s="1"/>
  <c r="F9" i="10"/>
  <c r="E9" i="10"/>
  <c r="O8" i="10"/>
  <c r="I8" i="10"/>
  <c r="F8" i="10"/>
  <c r="K8" i="10" s="1"/>
  <c r="E8" i="10"/>
  <c r="S7" i="10"/>
  <c r="O7" i="10"/>
  <c r="N7" i="10"/>
  <c r="I7" i="10"/>
  <c r="J7" i="10" s="1"/>
  <c r="F7" i="10"/>
  <c r="K7" i="10" s="1"/>
  <c r="E7" i="10"/>
  <c r="N6" i="10"/>
  <c r="O6" i="10" s="1"/>
  <c r="I6" i="10"/>
  <c r="J6" i="10" s="1"/>
  <c r="F6" i="10"/>
  <c r="K6" i="10" s="1"/>
  <c r="E6" i="10"/>
  <c r="S5" i="10"/>
  <c r="N5" i="10"/>
  <c r="O5" i="10" s="1"/>
  <c r="I5" i="10"/>
  <c r="J5" i="10" s="1"/>
  <c r="F5" i="10"/>
  <c r="K5" i="10" s="1"/>
  <c r="E5" i="10"/>
  <c r="S4" i="10"/>
  <c r="N4" i="10"/>
  <c r="O4" i="10" s="1"/>
  <c r="K4" i="10"/>
  <c r="J4" i="10"/>
  <c r="I4" i="10"/>
  <c r="E4" i="10"/>
  <c r="S3" i="10"/>
  <c r="N3" i="10"/>
  <c r="O3" i="10" s="1"/>
  <c r="K3" i="10"/>
  <c r="I3" i="10"/>
  <c r="J3" i="10" s="1"/>
  <c r="F3" i="10"/>
  <c r="E3" i="10"/>
  <c r="E14" i="10" s="1"/>
  <c r="C16" i="10" s="1"/>
  <c r="S3" i="9"/>
  <c r="B26" i="9"/>
  <c r="C14" i="9"/>
  <c r="J12" i="9"/>
  <c r="I12" i="9"/>
  <c r="H12" i="9"/>
  <c r="E12" i="9"/>
  <c r="O11" i="9"/>
  <c r="I11" i="9"/>
  <c r="J11" i="9" s="1"/>
  <c r="F11" i="9"/>
  <c r="K11" i="9" s="1"/>
  <c r="E11" i="9"/>
  <c r="O10" i="9"/>
  <c r="K10" i="9"/>
  <c r="J10" i="9"/>
  <c r="I10" i="9"/>
  <c r="F10" i="9"/>
  <c r="E10" i="9"/>
  <c r="S9" i="9"/>
  <c r="O9" i="9"/>
  <c r="K9" i="9"/>
  <c r="I9" i="9"/>
  <c r="J9" i="9" s="1"/>
  <c r="F9" i="9"/>
  <c r="E9" i="9"/>
  <c r="O8" i="9"/>
  <c r="I8" i="9"/>
  <c r="F8" i="9"/>
  <c r="E8" i="9"/>
  <c r="S7" i="9"/>
  <c r="N7" i="9"/>
  <c r="O7" i="9" s="1"/>
  <c r="I7" i="9"/>
  <c r="J7" i="9" s="1"/>
  <c r="F7" i="9"/>
  <c r="K7" i="9" s="1"/>
  <c r="E7" i="9"/>
  <c r="N6" i="9"/>
  <c r="O6" i="9" s="1"/>
  <c r="I6" i="9"/>
  <c r="J6" i="9" s="1"/>
  <c r="F6" i="9"/>
  <c r="K6" i="9" s="1"/>
  <c r="E6" i="9"/>
  <c r="S5" i="9"/>
  <c r="N5" i="9"/>
  <c r="O5" i="9" s="1"/>
  <c r="I5" i="9"/>
  <c r="J5" i="9" s="1"/>
  <c r="F5" i="9"/>
  <c r="K5" i="9" s="1"/>
  <c r="E5" i="9"/>
  <c r="S4" i="9"/>
  <c r="N4" i="9"/>
  <c r="O4" i="9" s="1"/>
  <c r="K4" i="9"/>
  <c r="I4" i="9"/>
  <c r="J4" i="9" s="1"/>
  <c r="E4" i="9"/>
  <c r="N3" i="9"/>
  <c r="I3" i="9"/>
  <c r="J3" i="9" s="1"/>
  <c r="F3" i="9"/>
  <c r="K3" i="9" s="1"/>
  <c r="E3" i="9"/>
  <c r="E14" i="9" s="1"/>
  <c r="C16" i="9" s="1"/>
  <c r="I7" i="7"/>
  <c r="I15" i="8"/>
  <c r="B26" i="8"/>
  <c r="C14" i="8"/>
  <c r="I12" i="8"/>
  <c r="J12" i="8" s="1"/>
  <c r="H12" i="8"/>
  <c r="F12" i="8"/>
  <c r="E12" i="8"/>
  <c r="O11" i="8"/>
  <c r="J11" i="8"/>
  <c r="I11" i="8"/>
  <c r="F11" i="8"/>
  <c r="K11" i="8" s="1"/>
  <c r="E11" i="8"/>
  <c r="O10" i="8"/>
  <c r="I10" i="8"/>
  <c r="J10" i="8" s="1"/>
  <c r="F10" i="8"/>
  <c r="K10" i="8" s="1"/>
  <c r="E10" i="8"/>
  <c r="S9" i="8"/>
  <c r="O9" i="8"/>
  <c r="I9" i="8"/>
  <c r="J9" i="8" s="1"/>
  <c r="F9" i="8"/>
  <c r="K9" i="8" s="1"/>
  <c r="E9" i="8"/>
  <c r="O8" i="8"/>
  <c r="H8" i="8"/>
  <c r="F8" i="8"/>
  <c r="E8" i="8"/>
  <c r="S7" i="8"/>
  <c r="N7" i="8"/>
  <c r="O7" i="8" s="1"/>
  <c r="I7" i="8"/>
  <c r="J7" i="8" s="1"/>
  <c r="F7" i="8"/>
  <c r="K7" i="8" s="1"/>
  <c r="E7" i="8"/>
  <c r="N6" i="8"/>
  <c r="O6" i="8" s="1"/>
  <c r="K6" i="8"/>
  <c r="I6" i="8"/>
  <c r="J6" i="8" s="1"/>
  <c r="F6" i="8"/>
  <c r="E6" i="8"/>
  <c r="S5" i="8"/>
  <c r="N5" i="8"/>
  <c r="O5" i="8" s="1"/>
  <c r="I5" i="8"/>
  <c r="J5" i="8" s="1"/>
  <c r="F5" i="8"/>
  <c r="K5" i="8" s="1"/>
  <c r="E5" i="8"/>
  <c r="S4" i="8"/>
  <c r="N4" i="8"/>
  <c r="O4" i="8" s="1"/>
  <c r="K4" i="8"/>
  <c r="I4" i="8"/>
  <c r="J4" i="8" s="1"/>
  <c r="E4" i="8"/>
  <c r="S3" i="8"/>
  <c r="N3" i="8"/>
  <c r="O3" i="8" s="1"/>
  <c r="I3" i="8"/>
  <c r="J3" i="8" s="1"/>
  <c r="F3" i="8"/>
  <c r="K3" i="8" s="1"/>
  <c r="E3" i="8"/>
  <c r="O8" i="7"/>
  <c r="O7" i="7"/>
  <c r="E14" i="7"/>
  <c r="C14" i="7"/>
  <c r="O9" i="7"/>
  <c r="B26" i="7"/>
  <c r="I12" i="7"/>
  <c r="J12" i="7" s="1"/>
  <c r="H12" i="7"/>
  <c r="F12" i="7"/>
  <c r="E12" i="7"/>
  <c r="O11" i="7"/>
  <c r="I11" i="7"/>
  <c r="J11" i="7" s="1"/>
  <c r="F11" i="7"/>
  <c r="K11" i="7" s="1"/>
  <c r="E11" i="7"/>
  <c r="O10" i="7"/>
  <c r="J10" i="7"/>
  <c r="I10" i="7"/>
  <c r="F10" i="7"/>
  <c r="K10" i="7" s="1"/>
  <c r="E10" i="7"/>
  <c r="S9" i="7"/>
  <c r="I9" i="7"/>
  <c r="J9" i="7" s="1"/>
  <c r="F9" i="7"/>
  <c r="K9" i="7" s="1"/>
  <c r="E9" i="7"/>
  <c r="H8" i="7"/>
  <c r="I8" i="7" s="1"/>
  <c r="F8" i="7"/>
  <c r="K8" i="7" s="1"/>
  <c r="E8" i="7"/>
  <c r="S7" i="7"/>
  <c r="N7" i="7"/>
  <c r="J7" i="7"/>
  <c r="F7" i="7"/>
  <c r="K7" i="7" s="1"/>
  <c r="E7" i="7"/>
  <c r="N6" i="7"/>
  <c r="O6" i="7" s="1"/>
  <c r="K6" i="7"/>
  <c r="I6" i="7"/>
  <c r="J6" i="7" s="1"/>
  <c r="F6" i="7"/>
  <c r="E6" i="7"/>
  <c r="S5" i="7"/>
  <c r="N5" i="7"/>
  <c r="O5" i="7" s="1"/>
  <c r="I5" i="7"/>
  <c r="J5" i="7" s="1"/>
  <c r="F5" i="7"/>
  <c r="K5" i="7" s="1"/>
  <c r="E5" i="7"/>
  <c r="S4" i="7"/>
  <c r="N4" i="7"/>
  <c r="O4" i="7" s="1"/>
  <c r="K4" i="7"/>
  <c r="I4" i="7"/>
  <c r="J4" i="7" s="1"/>
  <c r="E4" i="7"/>
  <c r="S3" i="7"/>
  <c r="N3" i="7"/>
  <c r="K3" i="7"/>
  <c r="I3" i="7"/>
  <c r="J3" i="7" s="1"/>
  <c r="F3" i="7"/>
  <c r="E3" i="7"/>
  <c r="C16" i="7" s="1"/>
  <c r="C14" i="6"/>
  <c r="O7" i="6"/>
  <c r="B27" i="6"/>
  <c r="I14" i="6"/>
  <c r="I12" i="6"/>
  <c r="J12" i="6" s="1"/>
  <c r="H12" i="6"/>
  <c r="E12" i="6"/>
  <c r="F12" i="6"/>
  <c r="O8" i="6"/>
  <c r="H8" i="6"/>
  <c r="I8" i="6" s="1"/>
  <c r="J8" i="6" s="1"/>
  <c r="F5" i="6"/>
  <c r="M3" i="6"/>
  <c r="S3" i="6" s="1"/>
  <c r="I4" i="6"/>
  <c r="J4" i="6" s="1"/>
  <c r="N4" i="6"/>
  <c r="O4" i="6" s="1"/>
  <c r="S9" i="6"/>
  <c r="I10" i="2"/>
  <c r="F10" i="1"/>
  <c r="S10" i="4"/>
  <c r="O10" i="5"/>
  <c r="S10" i="5" s="1"/>
  <c r="S11" i="4"/>
  <c r="S4" i="4"/>
  <c r="S3" i="4"/>
  <c r="S7" i="4"/>
  <c r="S5" i="4"/>
  <c r="S11" i="3"/>
  <c r="S7" i="6"/>
  <c r="S5" i="6"/>
  <c r="S4" i="6"/>
  <c r="S8" i="5"/>
  <c r="S7" i="5"/>
  <c r="S5" i="5"/>
  <c r="S4" i="5"/>
  <c r="S3" i="5"/>
  <c r="S7" i="3"/>
  <c r="S5" i="3"/>
  <c r="S4" i="3"/>
  <c r="S3" i="3"/>
  <c r="S4" i="1"/>
  <c r="S5" i="1"/>
  <c r="S7" i="1"/>
  <c r="S3" i="1"/>
  <c r="S4" i="2"/>
  <c r="S5" i="2"/>
  <c r="S7" i="2"/>
  <c r="S8" i="2"/>
  <c r="S9" i="2"/>
  <c r="S3" i="2"/>
  <c r="O14" i="2"/>
  <c r="O11" i="6"/>
  <c r="I11" i="6"/>
  <c r="J11" i="6" s="1"/>
  <c r="F11" i="6"/>
  <c r="K11" i="6" s="1"/>
  <c r="E11" i="6"/>
  <c r="O10" i="6"/>
  <c r="I10" i="6"/>
  <c r="J10" i="6" s="1"/>
  <c r="F10" i="6"/>
  <c r="K10" i="6" s="1"/>
  <c r="E10" i="6"/>
  <c r="O9" i="6"/>
  <c r="I9" i="6"/>
  <c r="J9" i="6" s="1"/>
  <c r="F9" i="6"/>
  <c r="K9" i="6" s="1"/>
  <c r="E9" i="6"/>
  <c r="F8" i="6"/>
  <c r="E8" i="6"/>
  <c r="N7" i="6"/>
  <c r="I7" i="6"/>
  <c r="J7" i="6" s="1"/>
  <c r="F7" i="6"/>
  <c r="K7" i="6" s="1"/>
  <c r="E7" i="6"/>
  <c r="N6" i="6"/>
  <c r="O6" i="6" s="1"/>
  <c r="I6" i="6"/>
  <c r="F6" i="6"/>
  <c r="K6" i="6" s="1"/>
  <c r="E6" i="6"/>
  <c r="N5" i="6"/>
  <c r="O5" i="6" s="1"/>
  <c r="I5" i="6"/>
  <c r="J5" i="6" s="1"/>
  <c r="K5" i="6"/>
  <c r="E5" i="6"/>
  <c r="K4" i="6"/>
  <c r="E4" i="6"/>
  <c r="N3" i="6"/>
  <c r="I3" i="6"/>
  <c r="J3" i="6" s="1"/>
  <c r="F3" i="6"/>
  <c r="K3" i="6" s="1"/>
  <c r="E3" i="6"/>
  <c r="O9" i="3"/>
  <c r="C13" i="5"/>
  <c r="O11" i="5"/>
  <c r="I11" i="5"/>
  <c r="J11" i="5" s="1"/>
  <c r="F11" i="5"/>
  <c r="K11" i="5" s="1"/>
  <c r="E11" i="5"/>
  <c r="I10" i="5"/>
  <c r="J10" i="5" s="1"/>
  <c r="F10" i="5"/>
  <c r="E10" i="5"/>
  <c r="O9" i="5"/>
  <c r="S9" i="5" s="1"/>
  <c r="I9" i="5"/>
  <c r="J9" i="5" s="1"/>
  <c r="F9" i="5"/>
  <c r="K9" i="5" s="1"/>
  <c r="E9" i="5"/>
  <c r="O8" i="5"/>
  <c r="I8" i="5"/>
  <c r="J8" i="5" s="1"/>
  <c r="F8" i="5"/>
  <c r="K8" i="5" s="1"/>
  <c r="E8" i="5"/>
  <c r="N7" i="5"/>
  <c r="O7" i="5" s="1"/>
  <c r="I7" i="5"/>
  <c r="J7" i="5" s="1"/>
  <c r="F7" i="5"/>
  <c r="K7" i="5" s="1"/>
  <c r="E7" i="5"/>
  <c r="N6" i="5"/>
  <c r="O6" i="5" s="1"/>
  <c r="K6" i="5"/>
  <c r="I6" i="5"/>
  <c r="J6" i="5" s="1"/>
  <c r="F6" i="5"/>
  <c r="E6" i="5"/>
  <c r="N5" i="5"/>
  <c r="O5" i="5" s="1"/>
  <c r="I5" i="5"/>
  <c r="J5" i="5" s="1"/>
  <c r="F5" i="5"/>
  <c r="K5" i="5" s="1"/>
  <c r="E5" i="5"/>
  <c r="N4" i="5"/>
  <c r="O4" i="5" s="1"/>
  <c r="I4" i="5"/>
  <c r="J4" i="5" s="1"/>
  <c r="F4" i="5"/>
  <c r="K4" i="5" s="1"/>
  <c r="E4" i="5"/>
  <c r="N3" i="5"/>
  <c r="O3" i="5" s="1"/>
  <c r="I3" i="5"/>
  <c r="F3" i="5"/>
  <c r="K3" i="5" s="1"/>
  <c r="E3" i="5"/>
  <c r="O10" i="4"/>
  <c r="C14" i="4"/>
  <c r="O12" i="4"/>
  <c r="F12" i="4"/>
  <c r="F11" i="4"/>
  <c r="K12" i="4"/>
  <c r="I11" i="4"/>
  <c r="J11" i="4" s="1"/>
  <c r="O11" i="4"/>
  <c r="E11" i="4"/>
  <c r="K10" i="4"/>
  <c r="I10" i="4"/>
  <c r="J10" i="4" s="1"/>
  <c r="F10" i="4"/>
  <c r="E10" i="4"/>
  <c r="N9" i="4"/>
  <c r="O9" i="4" s="1"/>
  <c r="I9" i="4"/>
  <c r="J9" i="4" s="1"/>
  <c r="F9" i="4"/>
  <c r="K9" i="4" s="1"/>
  <c r="E9" i="4"/>
  <c r="I12" i="4"/>
  <c r="J12" i="4" s="1"/>
  <c r="E12" i="4"/>
  <c r="O8" i="4"/>
  <c r="I8" i="4"/>
  <c r="J8" i="4" s="1"/>
  <c r="F8" i="4"/>
  <c r="K8" i="4" s="1"/>
  <c r="E8" i="4"/>
  <c r="N7" i="4"/>
  <c r="O7" i="4" s="1"/>
  <c r="I7" i="4"/>
  <c r="J7" i="4" s="1"/>
  <c r="F7" i="4"/>
  <c r="K7" i="4" s="1"/>
  <c r="E7" i="4"/>
  <c r="N6" i="4"/>
  <c r="O6" i="4" s="1"/>
  <c r="I6" i="4"/>
  <c r="J6" i="4" s="1"/>
  <c r="F6" i="4"/>
  <c r="K6" i="4" s="1"/>
  <c r="E6" i="4"/>
  <c r="N5" i="4"/>
  <c r="O5" i="4" s="1"/>
  <c r="I5" i="4"/>
  <c r="J5" i="4" s="1"/>
  <c r="F5" i="4"/>
  <c r="K5" i="4" s="1"/>
  <c r="E5" i="4"/>
  <c r="N4" i="4"/>
  <c r="O4" i="4" s="1"/>
  <c r="I4" i="4"/>
  <c r="J4" i="4" s="1"/>
  <c r="F4" i="4"/>
  <c r="K4" i="4" s="1"/>
  <c r="E4" i="4"/>
  <c r="N3" i="4"/>
  <c r="I3" i="4"/>
  <c r="J3" i="4" s="1"/>
  <c r="F3" i="4"/>
  <c r="K3" i="4" s="1"/>
  <c r="E3" i="4"/>
  <c r="C16" i="3"/>
  <c r="E12" i="3"/>
  <c r="N4" i="3"/>
  <c r="N9" i="3"/>
  <c r="N5" i="3"/>
  <c r="O5" i="3" s="1"/>
  <c r="C14" i="3"/>
  <c r="I9" i="3"/>
  <c r="J9" i="3" s="1"/>
  <c r="K9" i="3"/>
  <c r="E9" i="3"/>
  <c r="F9" i="3"/>
  <c r="N10" i="3"/>
  <c r="O10" i="3" s="1"/>
  <c r="O12" i="3"/>
  <c r="I12" i="3"/>
  <c r="J12" i="3" s="1"/>
  <c r="K12" i="3"/>
  <c r="I11" i="3"/>
  <c r="J11" i="3" s="1"/>
  <c r="I10" i="3"/>
  <c r="J10" i="3" s="1"/>
  <c r="E11" i="3"/>
  <c r="F12" i="3"/>
  <c r="F11" i="3"/>
  <c r="K11" i="3" s="1"/>
  <c r="E10" i="3"/>
  <c r="F10" i="3"/>
  <c r="K10" i="3" s="1"/>
  <c r="O8" i="3"/>
  <c r="I8" i="3"/>
  <c r="J8" i="3" s="1"/>
  <c r="F8" i="3"/>
  <c r="K8" i="3" s="1"/>
  <c r="E8" i="3"/>
  <c r="N7" i="3"/>
  <c r="O7" i="3" s="1"/>
  <c r="I7" i="3"/>
  <c r="J7" i="3" s="1"/>
  <c r="F7" i="3"/>
  <c r="K7" i="3" s="1"/>
  <c r="E7" i="3"/>
  <c r="N6" i="3"/>
  <c r="O6" i="3" s="1"/>
  <c r="I6" i="3"/>
  <c r="J6" i="3" s="1"/>
  <c r="F6" i="3"/>
  <c r="K6" i="3" s="1"/>
  <c r="E6" i="3"/>
  <c r="I5" i="3"/>
  <c r="J5" i="3" s="1"/>
  <c r="F5" i="3"/>
  <c r="K5" i="3" s="1"/>
  <c r="E5" i="3"/>
  <c r="O4" i="3"/>
  <c r="O14" i="3" s="1"/>
  <c r="O18" i="3" s="1"/>
  <c r="I4" i="3"/>
  <c r="J4" i="3" s="1"/>
  <c r="F4" i="3"/>
  <c r="K4" i="3" s="1"/>
  <c r="N3" i="3"/>
  <c r="O3" i="3" s="1"/>
  <c r="I3" i="3"/>
  <c r="F3" i="3"/>
  <c r="K3" i="3" s="1"/>
  <c r="E3" i="3"/>
  <c r="C4" i="2"/>
  <c r="F4" i="2" s="1"/>
  <c r="K4" i="2" s="1"/>
  <c r="O12" i="2"/>
  <c r="I4" i="2"/>
  <c r="N5" i="2"/>
  <c r="O5" i="2" s="1"/>
  <c r="N7" i="2"/>
  <c r="O7" i="2" s="1"/>
  <c r="O8" i="2"/>
  <c r="I8" i="2"/>
  <c r="J8" i="2" s="1"/>
  <c r="F8" i="2"/>
  <c r="K8" i="2" s="1"/>
  <c r="E8" i="2"/>
  <c r="I7" i="2"/>
  <c r="J7" i="2" s="1"/>
  <c r="F7" i="2"/>
  <c r="K7" i="2" s="1"/>
  <c r="E7" i="2"/>
  <c r="N6" i="2"/>
  <c r="O6" i="2" s="1"/>
  <c r="K6" i="2"/>
  <c r="I6" i="2"/>
  <c r="J6" i="2" s="1"/>
  <c r="F6" i="2"/>
  <c r="E6" i="2"/>
  <c r="K5" i="2"/>
  <c r="J5" i="2"/>
  <c r="I5" i="2"/>
  <c r="F5" i="2"/>
  <c r="E5" i="2"/>
  <c r="N4" i="2"/>
  <c r="O4" i="2" s="1"/>
  <c r="N3" i="2"/>
  <c r="O3" i="2" s="1"/>
  <c r="K3" i="2"/>
  <c r="I3" i="2"/>
  <c r="J3" i="2" s="1"/>
  <c r="F3" i="2"/>
  <c r="E3" i="2"/>
  <c r="J10" i="1"/>
  <c r="I10" i="1"/>
  <c r="C10" i="1"/>
  <c r="O5" i="1"/>
  <c r="O6" i="1"/>
  <c r="O7" i="1"/>
  <c r="O8" i="1"/>
  <c r="N4" i="1"/>
  <c r="O4" i="1" s="1"/>
  <c r="N5" i="1"/>
  <c r="N6" i="1"/>
  <c r="N7" i="1"/>
  <c r="N3" i="1"/>
  <c r="O3" i="1" s="1"/>
  <c r="I3" i="1"/>
  <c r="J3" i="1" s="1"/>
  <c r="F5" i="1"/>
  <c r="K5" i="1" s="1"/>
  <c r="F6" i="1"/>
  <c r="K6" i="1" s="1"/>
  <c r="F7" i="1"/>
  <c r="K7" i="1" s="1"/>
  <c r="F8" i="1"/>
  <c r="K8" i="1" s="1"/>
  <c r="F3" i="1"/>
  <c r="K3" i="1" s="1"/>
  <c r="I8" i="1"/>
  <c r="C4" i="1"/>
  <c r="F4" i="1" s="1"/>
  <c r="K4" i="1" s="1"/>
  <c r="I4" i="1"/>
  <c r="I5" i="1"/>
  <c r="J5" i="1" s="1"/>
  <c r="I6" i="1"/>
  <c r="J6" i="1" s="1"/>
  <c r="I7" i="1"/>
  <c r="J7" i="1" s="1"/>
  <c r="E5" i="1"/>
  <c r="E6" i="1"/>
  <c r="E7" i="1"/>
  <c r="E8" i="1"/>
  <c r="E3" i="1"/>
  <c r="O18" i="10" l="1"/>
  <c r="J14" i="10"/>
  <c r="O14" i="10"/>
  <c r="O16" i="10" s="1"/>
  <c r="I14" i="10"/>
  <c r="I15" i="10" s="1"/>
  <c r="O3" i="9"/>
  <c r="I14" i="9"/>
  <c r="I15" i="9" s="1"/>
  <c r="O14" i="9"/>
  <c r="O16" i="9" s="1"/>
  <c r="O18" i="9"/>
  <c r="J14" i="9"/>
  <c r="K8" i="9"/>
  <c r="K8" i="8"/>
  <c r="E14" i="8"/>
  <c r="C16" i="8" s="1"/>
  <c r="O14" i="8"/>
  <c r="O16" i="8" s="1"/>
  <c r="O18" i="8"/>
  <c r="J14" i="8"/>
  <c r="I8" i="8"/>
  <c r="I14" i="8" s="1"/>
  <c r="O3" i="7"/>
  <c r="O14" i="7" s="1"/>
  <c r="O16" i="7" s="1"/>
  <c r="J14" i="7"/>
  <c r="I14" i="7"/>
  <c r="K8" i="6"/>
  <c r="O3" i="6"/>
  <c r="O14" i="6" s="1"/>
  <c r="I13" i="5"/>
  <c r="O13" i="5"/>
  <c r="O17" i="5" s="1"/>
  <c r="S11" i="5"/>
  <c r="E14" i="6"/>
  <c r="C16" i="6" s="1"/>
  <c r="J6" i="6"/>
  <c r="J14" i="6" s="1"/>
  <c r="O3" i="4"/>
  <c r="O14" i="4" s="1"/>
  <c r="E13" i="5"/>
  <c r="C15" i="5" s="1"/>
  <c r="J3" i="5"/>
  <c r="J13" i="5" s="1"/>
  <c r="E14" i="4"/>
  <c r="C16" i="4" s="1"/>
  <c r="J14" i="4"/>
  <c r="I14" i="4"/>
  <c r="O16" i="3"/>
  <c r="I14" i="3"/>
  <c r="J3" i="3"/>
  <c r="J14" i="3" s="1"/>
  <c r="E4" i="3"/>
  <c r="E14" i="3" s="1"/>
  <c r="J4" i="2"/>
  <c r="J10" i="2" s="1"/>
  <c r="O10" i="2"/>
  <c r="C10" i="2"/>
  <c r="E4" i="2"/>
  <c r="E10" i="2" s="1"/>
  <c r="O10" i="1"/>
  <c r="J8" i="1"/>
  <c r="E4" i="1"/>
  <c r="J4" i="1"/>
  <c r="O18" i="7" l="1"/>
  <c r="O18" i="6"/>
  <c r="O16" i="6"/>
  <c r="O16" i="4"/>
  <c r="O18" i="4"/>
  <c r="O15" i="5"/>
  <c r="O12" i="1"/>
  <c r="O14" i="1"/>
  <c r="C12" i="2"/>
  <c r="E10" i="1"/>
  <c r="C12" i="1" l="1"/>
</calcChain>
</file>

<file path=xl/sharedStrings.xml><?xml version="1.0" encoding="utf-8"?>
<sst xmlns="http://schemas.openxmlformats.org/spreadsheetml/2006/main" count="720" uniqueCount="172">
  <si>
    <t xml:space="preserve">FLUX </t>
  </si>
  <si>
    <t>DAG</t>
  </si>
  <si>
    <t>AVAX</t>
  </si>
  <si>
    <t>ETH</t>
  </si>
  <si>
    <t>FTM</t>
  </si>
  <si>
    <t>YN</t>
  </si>
  <si>
    <t>Investment</t>
  </si>
  <si>
    <t>$ Total</t>
  </si>
  <si>
    <t>Coins</t>
  </si>
  <si>
    <t>Income</t>
  </si>
  <si>
    <t>% Interest</t>
  </si>
  <si>
    <t>Total</t>
  </si>
  <si>
    <t>Profit</t>
  </si>
  <si>
    <t>TOTAL INVEST</t>
  </si>
  <si>
    <t>WORTH</t>
  </si>
  <si>
    <t>Price Paid</t>
  </si>
  <si>
    <t>% Increase</t>
  </si>
  <si>
    <t>Wolfer Finance Investments</t>
  </si>
  <si>
    <t>Wolfer Finance Investments Worth NOW!</t>
  </si>
  <si>
    <t>Coin Total</t>
  </si>
  <si>
    <t>Price Per Coin</t>
  </si>
  <si>
    <t>Total ROI Month 1</t>
  </si>
  <si>
    <t>Profit Total USD</t>
  </si>
  <si>
    <t>Coin Price Now</t>
  </si>
  <si>
    <t>Interest On Investments - Month 1</t>
  </si>
  <si>
    <t>Cronos</t>
  </si>
  <si>
    <t>Project 79</t>
  </si>
  <si>
    <t>PreSend</t>
  </si>
  <si>
    <t>SAPP</t>
  </si>
  <si>
    <t>Expected ROI / Month</t>
  </si>
  <si>
    <t>PreSend Institutional</t>
  </si>
  <si>
    <t>UNREALIZED GAIN/LOSS</t>
  </si>
  <si>
    <t>EXPECTED MONTHLY INCOME TOTAL</t>
  </si>
  <si>
    <t>Total Profit</t>
  </si>
  <si>
    <t>Team 5% TXN</t>
  </si>
  <si>
    <t>TXN Into KuCoin Or Wallet</t>
  </si>
  <si>
    <t>Team Total</t>
  </si>
  <si>
    <t>Total 5% Team Salary</t>
  </si>
  <si>
    <t>https://mainnet1.dagexplorer.io/transactions/e2ce018d54989a0ae58c1cbcdddd95a16787470b9970b6b2ad8e75c7eb01d1d5</t>
  </si>
  <si>
    <t>https://snowtrace.io/tx/0x236d1af235db88f0c927de3faa2ac45baf365634f6273c44700b46a38d8c4f27 ; https://snowtrace.io/tx/0x7ab751db111ddc38f0fde870e321f3967b8ab83ae6bb676a7893c74c547be0bf</t>
  </si>
  <si>
    <t>N/A</t>
  </si>
  <si>
    <t xml:space="preserve">https://ftmscan.com/tx/0xe23906cea01e64712e5215ff321e5cba7cd887c64661e33033262acca9d977fc ; https://ftmscan.com/tx/0xb7c80e179691fa6bd38d92a34bcf885c1f4f7dcf475c180b1fc9905a4cc625b7 </t>
  </si>
  <si>
    <t>https://explorer.runonflux.io/tx/25611cc5d7d78dad1c774cc800ae6c7f1700d3f6d9cb950dbdc4af978444e93d</t>
  </si>
  <si>
    <t>https://explorer.runonflux.io/tx/3a33a06ee9be0da0e11b51a2edc2d924d556cd28a523dcda3fb8de6ae5694cd8</t>
  </si>
  <si>
    <t>No Withdraw Ability</t>
  </si>
  <si>
    <t>No Withdraw (Comes in BTC 1 Month Post Request)</t>
  </si>
  <si>
    <t>Compounded 100%</t>
  </si>
  <si>
    <t>https://www.blockchain.com/btc/tx/17803a707f48b82542b8f9fcb1d2db12d3014fcf132538fe85047168d07451aa ; https://www.blockchain.com/btc/tx/860e32f182bb76405113f36232cd5c3e70e4a5c80f03c289e93d9d0195cfff18</t>
  </si>
  <si>
    <t xml:space="preserve">https://www.blockchain.com/btc/tx/c2e03092444eb106e4144561aeaeaf9765967f5fa2982d094ff952641c809fbb ; https://www.blockchain.com/btc/tx/190067def7fd109a8ca1d1a821408f15bcf79a245e392fefe531b319b39b794c ; </t>
  </si>
  <si>
    <t>SAPP Sell To BTC ; YN Closing Withdrawals</t>
  </si>
  <si>
    <t>N/A YN Shut Down Withdrawals</t>
  </si>
  <si>
    <t>https://mainnet.dagexplorer.io/transactions/308b5b6c1e9c1284c4d43923a566af5f7d5c46e27b88b8ae9890193c8c8d1be7</t>
  </si>
  <si>
    <t>https://explorer.runonflux.io/tx/25baaa7ff0d61d96202fcfad4a5e33c9fe4aef3493f4d10a4d8f56c5b5cd7ad2</t>
  </si>
  <si>
    <t>https://etherscan.io/tx/0x4b3eccfefc191d3fdcd6269b2872ee86da3c03e035fc75224cc6312e0c3bc1c5</t>
  </si>
  <si>
    <t>https://etherscan.io/tx/0xc0fe78ecb480aff4e2dbc45e6439bfa4c9274b755f8998295992a44f6989bdc8</t>
  </si>
  <si>
    <t>https://explorer.runonflux.io/tx/241d2876db6e78753abf8f6f5960b1a515f69dd8feed19247d9a453ece7fc590</t>
  </si>
  <si>
    <t>Picked Up Additional Node - Compounded - https://mainnet1.dagexplorer.io/transactions/1ae0168dc54c890eb29e95edf4ce59b18a46cab053cae990f6e179986b3bf1fd</t>
  </si>
  <si>
    <t>No Withdraw, Picked Up Another Node - https://mainnet1.dagexplorer.io/transactions/642c6cf4b11ccf7b732040e85c2aed52cc99033c4e310926824817e98242b515 ; https://mainnet1.dagexplorer.io/transactions/169f90a3c510eb51277b057986abc8133687fda4fdc24fdbc4f73b57b6720e51 ; https://mainnet1.dagexplorer.io/transactions/4ff163231babff079953328266abbaaffaa40a3f474a225691ac5b880d28dfa1</t>
  </si>
  <si>
    <t>https://etherscan.io/tx/0x4c0912f49f85bb875edd5dbd9a3d3c28d1c71a47302e0b6ce09010219611d14e</t>
  </si>
  <si>
    <t>https://etherscan.io/tx/0x3a1debe4a9ffe2bbae748abd0aa97f059c7934f471b141caa093a97ee25a65ab</t>
  </si>
  <si>
    <t>https://etherscan.io/tx/0xee32b732e095d2d316ef4efdec4c432035a651a748c6239ea8d32c6e645298e9</t>
  </si>
  <si>
    <t>Below</t>
  </si>
  <si>
    <t>https://etherscan.io/tx/0x25856298ca50f476599c17dc3cbc071fff539fd59a8dd03c481b3c62fea70114</t>
  </si>
  <si>
    <t>Remember to Subtract $50K for Initial Investment that stayed in Treasury - TXN For Profit - https://etherscan.io/tx/0xb647ddd39a1c73039f24dec6215b7c4923c38a2ebfa0fc0bbd899b6dabf3f2de - TXN For Income - https://etherscan.io/tx/0x6818c328ee25cf0b9edc0401c3d8ba506230469a7de8412c279f79eeb61f97ac</t>
  </si>
  <si>
    <t>Below.</t>
  </si>
  <si>
    <t>Below. Added As BTC Payout 0.01 BTC</t>
  </si>
  <si>
    <t>https://etherscan.io/tx/0xb3db04d2c3bffb2c7a5a0720c7f5bd310c24bc9757988851e55ad08d91627efc</t>
  </si>
  <si>
    <t>Below &amp; Added To FLUX TXN</t>
  </si>
  <si>
    <t>Expense</t>
  </si>
  <si>
    <t>TXN</t>
  </si>
  <si>
    <t>Power Bank For AVADO</t>
  </si>
  <si>
    <t>AWS For FTM</t>
  </si>
  <si>
    <t>FLUX Node Hosting</t>
  </si>
  <si>
    <t>6 Months Contabo Hosting Storage (SAPP)</t>
  </si>
  <si>
    <t>https://etherscan.io/tx/0x3eb560ec51c3fa9cb10427df70807911532eb5475652f3505978a40c0f2bfd8d</t>
  </si>
  <si>
    <t>FLUX Node Hosting (July)</t>
  </si>
  <si>
    <t>FLUX Node Hosting (August)</t>
  </si>
  <si>
    <t>https://etherscan.io/tx/0x1c20f54174e77f5accc1ec712d45a464aa882cccbe06943b3de3f5ed5319f74c</t>
  </si>
  <si>
    <t>https://etherscan.io/tx/0xa4c439e20f7de0976bc8a3f688381e83994bb978f3090c5d992dc8a73d8f4480</t>
  </si>
  <si>
    <t>https://etherscan.io/tx/0xc6a7ddec89a8f7302ccbc06a7f9f0703f2de86b8c488994c8ccc153dad09f106</t>
  </si>
  <si>
    <t>https://etherscan.io/tx/0xc1ded80f456b34e3a4cb21684710bf0531cdc26bcdda00c4017b09f5398b2006</t>
  </si>
  <si>
    <t xml:space="preserve">https://etherscan.io/tx/0x3d851a8cf649d166c4aafd4c362d3a751e0fa13af76f9c741cc60282c0353545 </t>
  </si>
  <si>
    <t>https://etherscan.io/tx/0x04004961eb26f65ec9df73f538785e0162cdebc75b247fd6aa5c4bdcf8490d7b</t>
  </si>
  <si>
    <t>https://etherscan.io/tx/0x7abbd7e314e7ccfe3e5370294d46c774d1344a8312141e040ff5b62a0a631cc5</t>
  </si>
  <si>
    <t>https://etherscan.io/tx/0x7457f73622a7cd1a1f1bf95cdb2a46dd2e54ce129b6b08d5773b1eee7ecb7b79</t>
  </si>
  <si>
    <t>https://etherscan.io/tx/0xb84d6d370f641ed50605b9e8be7ce1981601166029179afd83841938a50e7042</t>
  </si>
  <si>
    <t>https://etherscan.io/tx/0xce1ad79503ab230548ab733544eeb57f355f58bf2ddf358cca4e894b2281bf58</t>
  </si>
  <si>
    <t>This gets 100% claimed &amp; restaked / compounded into the node. Kucoin payment made for FTM tokens.</t>
  </si>
  <si>
    <t>https://etherscan.io/tx/0xcf69beddb5a49691551638b3a63a12a29d5ff4180ca365b2ec23adf2162c6ffa</t>
  </si>
  <si>
    <t>Compounded 100% Into Node. KuCoin Payment Made For AVAX Tokens.</t>
  </si>
  <si>
    <t>https://etherscan.io/tx/0x000339bf9ae0aac02619d21168451318062605b8219aed12b276f8385e16624b</t>
  </si>
  <si>
    <t>https://explorer.flux.zelcore.io/tx/d18f6e510234f7f866438bf3b782651d3d715960de7d83e7a32766b17e2b8893</t>
  </si>
  <si>
    <t>I sent USDC on Polygon to a USDC ETH wallet. Took 90 days to get it back.</t>
  </si>
  <si>
    <t>Transaction Sent</t>
  </si>
  <si>
    <t>Transaction Sent Back to Treasury</t>
  </si>
  <si>
    <t>640 USDC</t>
  </si>
  <si>
    <t>499 USDC</t>
  </si>
  <si>
    <t xml:space="preserve">https://polygonscan.com/tx/0x68137ee2bf6ef4466c6b939b0d97ba421c982e5d2220449946d9c2deab2a84ac </t>
  </si>
  <si>
    <t>Sent From Treasury to Drew BitPay CC for FLUX Node Hosting</t>
  </si>
  <si>
    <t>Sent From Treasury to Drew BitPay CC for FTM AWS Bill</t>
  </si>
  <si>
    <t>https://polygonscan.com/tx/0xc19377b54e720e920f189885709a7ff77d01f53539a652de4e0d933b75441fd4</t>
  </si>
  <si>
    <t>https://polygonscan.com/tx/0x9daf282f421d8ec0ab62925f1c96d3147b8ae031676f4caa51c57c65d0d8f864</t>
  </si>
  <si>
    <t>https://polygonscan.com/tx/0x91b4c5194516249d778a7518390025743829233cde0ffa966e2efa9553cb261b</t>
  </si>
  <si>
    <t>LOST Crypto Transactions Recovered</t>
  </si>
  <si>
    <t>BitPay was not Compatible with Polygon Chain at the Time.</t>
  </si>
  <si>
    <t>https://etherscan.io/tx/0x0eafc5542e92cbebfe63aaee289a7c392c0636db094afe9711540080aa2d1a08</t>
  </si>
  <si>
    <t>https://mainnet.dagexplorer.io/transactions/eb705a093d2814d7a1d0ff74a4f9826de905a016bb480ab027b562227fc0c8d1</t>
  </si>
  <si>
    <t>https://etherscan.io/address/0x80B224B3890073AD024AD991e0740BeC53B37990#tokentxns</t>
  </si>
  <si>
    <t>JB Car (Miami Asset Review)</t>
  </si>
  <si>
    <t>JB Food Stipend (Miami Asset Review)</t>
  </si>
  <si>
    <t>JB Hotel (Miami Asset Review)</t>
  </si>
  <si>
    <t>JB Plane Ticket (Miami Asset Review)</t>
  </si>
  <si>
    <t>Node Was Down Due To Hardware (Back Up Now)</t>
  </si>
  <si>
    <t>https://mainnet.dagexplorer.io/transactions/c97adc47ff5e35acc7f1d8c68a2277c53b4bb412ff33d65c6f2c9d0e834b839c</t>
  </si>
  <si>
    <t>https://etherscan.io/tx/0x2eed8a9df3fd482837f58c071f0d7d219eec6396acbe9fd10fd756e39b23f7b7</t>
  </si>
  <si>
    <t>https://etherscan.io/tx/0x1c04d3cee4480fd278ee69632b56e1947ed06af4fd8ab828884175cacd2be894</t>
  </si>
  <si>
    <t>JB Flight insurance</t>
  </si>
  <si>
    <t>https://etherscan.io/tx/0x2b1bf7385b7df78d33605eeef8a7cd264859518ff2caa43a8408d0bac0933c41</t>
  </si>
  <si>
    <t>https://etherscan.io/tx/0x8baf18f220ea89a093051804d2b1da90048cbf230b24f815929d54f491f5ab29</t>
  </si>
  <si>
    <t>https://etherscan.io/tx/0x7655f874c74773a896cf972ead7a1a2b9de67241554ea769364b9aba33f01828</t>
  </si>
  <si>
    <t>https://explorer.flux.zelcore.io/tx/c3029a470ac58033b3bc93537d812166e6cb10a7dadb2cb5fb2b5e78281a26b4</t>
  </si>
  <si>
    <t>https://etherscan.io/tx/0x834c1388c48c3f2a796bee223d1d0162b7570fb23609366993129a4b5b88dbce</t>
  </si>
  <si>
    <t>ByBit Trading</t>
  </si>
  <si>
    <t>We Have Not Been Trading Much In Dec 2022</t>
  </si>
  <si>
    <t>https://etherscan.io/tx/0xaf4f774678b1f20fa0411ea84d3dc9a5376f46861c4e42a3f3e4314bea0b1a4e</t>
  </si>
  <si>
    <t>Forced To Compound 5% - Email Sent Out About It</t>
  </si>
  <si>
    <t>https://etherscan.io/tx/0x057c5e6857ccd2fcf6d3177b3caa36a180409cf2efd33cba79dac46ec45b2d7c</t>
  </si>
  <si>
    <t>https://etherscan.io/tx/0xfb537073afacff68fc8fa0f3d1008165b9711a192502480bd493b183e469bf35</t>
  </si>
  <si>
    <t>https://etherscan.io/tx/0x4921beae021c9817be1c4d0e9ff2f1143d0115a19c32fcf92840da65f608d868</t>
  </si>
  <si>
    <t>https://etherscan.io/tx/0xa0d544b773de89d61df52c4d2b9baeb7184f9fbc01e43efaa3e9eea37bb03dbb</t>
  </si>
  <si>
    <t>Trademark Filing (Drew Wolfer, Wolfer Finance, Wolfer Finance Logo)</t>
  </si>
  <si>
    <t>https://etherscan.io/tx/0x15c39ce8df8dc2545296fa6e2306d249529ae6c9536b12d6115e0c8dd2635728</t>
  </si>
  <si>
    <t>Accounting / Tax Prep Retainer (Interim CFOs)</t>
  </si>
  <si>
    <t>https://explorer.flux.zelcore.io/tx/f4963413252bc9845945ea64b9715a672ab87aaea43a26055bd98964da55aa1c</t>
  </si>
  <si>
    <t>https://ftmscan.com/address/0xb3b43e46501878949ea64665e52df24114458c12</t>
  </si>
  <si>
    <t>https://snowtrace.io/tx/0xed9a62e26593c82a4490e46dab82283a1d53d605b915eab98b61c197c0a4d884</t>
  </si>
  <si>
    <t>https://polygonscan.com/tx/0x4df94745836c5acb481fe9962fc9554350905924b58e17713c8654fbc0f070aa</t>
  </si>
  <si>
    <t>https://polygonscan.com/tx/0x7f8e0fe0447a0b011a99492da8d81352df99ff639feb7062f5e155f60a76be47</t>
  </si>
  <si>
    <t>https://mainnet.dagexplorer.io/transactions/915f6f76d83b78c2574f9c06a4b55561c75aa606e61780edcf1715e52ddfb341</t>
  </si>
  <si>
    <t>Check EtherScan For Treasury Transaction</t>
  </si>
  <si>
    <t>https://etherscan.io/tx/0xd85a35831996adb98e01c9d08898a10f60fb5660222a126e07381b3d3c8d520c</t>
  </si>
  <si>
    <t>SEC &amp; Compliance Lawyer Retainer (Jonathan Dunsmoor)</t>
  </si>
  <si>
    <t>Website &amp; Forms Build (Compliance Pages)</t>
  </si>
  <si>
    <t>https://ftmscan.com/tx/0x8d8e793712e8ec995c6b4db6811937f9b3bc041bee8bf1614b9223bf1defe5be</t>
  </si>
  <si>
    <t>Trademark Filings</t>
  </si>
  <si>
    <t>https://avascan.info/blockchain/c/tx/0xf8236218c5e6b949f45a81d90420464396e996bb25121d6ab008a6fe379c231d</t>
  </si>
  <si>
    <t>https://etherscan.io/tx/0x13de6327247ba0aa0f8d61ec3483accd3992d9f0e3208084f44fd6104ef92f64</t>
  </si>
  <si>
    <t>https://etherscan.io/tx/0x31172bcc7a46ccf86f7cfa7b953fac28dc7b38335e9166b5e703573e690c8bfc</t>
  </si>
  <si>
    <t>https://etherscan.io/tx/0xe608702afb3f44e76b3e7e1ddaca5ad9226da98c37773e87a7d125c711d6e241</t>
  </si>
  <si>
    <t xml:space="preserve">Token of Trust Deposit </t>
  </si>
  <si>
    <t>Token of Trust Completion (Not Paid Yet)</t>
  </si>
  <si>
    <t>https://etherscan.io/tx/0x1151b790c9e9e58c2736c89d59079b8ed2feb1379613a90d632045adde4e7908</t>
  </si>
  <si>
    <t>https://etherscan.io/tx/0x728d813846003f6ff8c0feb255fb9d569b5dee27fb172ecda7984b4a690c25c2</t>
  </si>
  <si>
    <t>https://mainnet.dagexplorer.io/transactions/2f3bfc89a70c4765484a6d83b8c221cfe02335b19632cd971fdc9aec74462880</t>
  </si>
  <si>
    <t>https://explorer.flux.zelcore.io/tx/bce43368c1f6a1702968637abe50b741aa772ceefd4da55b45130d2a75b0f8f6</t>
  </si>
  <si>
    <t>BitWave Accounting Software</t>
  </si>
  <si>
    <t>https://etherscan.io/tx/0xb80665ff48bbda0adfdb36e96b262f4c0f2b9ecd1741d1db52d2f0f95ceb7c86</t>
  </si>
  <si>
    <t>https://etherscan.io/tx/0x45c873ba9b83b83fcbade1a458f2ad0b5d8bf6b769395a8fd788ca0120611211</t>
  </si>
  <si>
    <t>https://snowtrace.io/tx/0x15373bcb21ddc222814d3b46241f545672b825233fb54851fd674bca63281ed3</t>
  </si>
  <si>
    <t>https://ftmscan.com/tx/0x0e947c7e962a6c65f28b003ef5b7d17b6bef44f864ecc43ac447b6cea67e6fa3</t>
  </si>
  <si>
    <t>https://explorer.flux.zelcore.io/tx/67c80f69e24de8523274fb28c3de85f46c70c114c484efd7f3d91c31326cc5bf ; https://explorer.flux.zelcore.io/tx/c05497ef08785267983aa6013cf8e4d5f7753e70a8f768fd45e9bacab651e26e</t>
  </si>
  <si>
    <t>https://mainnet.dagexplorer.io/transactions/dfd2a77bb2fef189010f2817749075a8501f8c59ed4897d0b4ea36fb6a957a73</t>
  </si>
  <si>
    <t>https://etherscan.io/tx/0x423a956dec65c306c1bc3dbdb678bbdf526e83e310d1c4962cc21ec1a64ac290</t>
  </si>
  <si>
    <t>https://etherscan.io/tx/0x66c31bab87a63178585a40c62df17243164a0fa51e02bafb7bd155d664205203</t>
  </si>
  <si>
    <t>End of 2022 Tax Year Accounting / Tax Fee</t>
  </si>
  <si>
    <t>Paid on Wolfer AMEX</t>
  </si>
  <si>
    <t>https://avascan.info/blockchain/c/tx/0x809373ecf1946ed0a634451c4ed971147eb732d60c2f4075a929e3c47588326a</t>
  </si>
  <si>
    <t>Unrealized % P/L</t>
  </si>
  <si>
    <t>https://ftmscan.com/tx/0x2036c986ba26dfa908311ce1ea04acdc9c74a9474a14a9c1f5229c5b8be0532b</t>
  </si>
  <si>
    <t>https://mainnet.dagexplorer.io/transactions/77026409c442ad818123dff27f1a72f206888eb853bcaa2b5afb53c33dd8024b</t>
  </si>
  <si>
    <t>DID NOT PAY OUT (TRANSITION)</t>
  </si>
  <si>
    <t>https://explorer.runonflux.io/tx/82f0f50ad97635fe3dabd779dbc3ba7a2ef0f875e581e22421efd71ec6195db4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</si>
</sst>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9" fontId="0" fillId="0" borderId="0" xfId="1" applyFont="1"/>
    <xf numFmtId="0" fontId="4" fillId="4" borderId="4" xfId="5" applyBorder="1"/>
    <xf numFmtId="9" fontId="4" fillId="4" borderId="4" xfId="5" applyNumberFormat="1" applyBorder="1"/>
    <xf numFmtId="0" fontId="0" fillId="0" borderId="4" xfId="0" applyBorder="1"/>
    <xf numFmtId="44" fontId="0" fillId="0" borderId="4" xfId="2" applyFont="1" applyBorder="1"/>
    <xf numFmtId="9" fontId="0" fillId="0" borderId="4" xfId="1" applyFont="1" applyBorder="1"/>
    <xf numFmtId="44" fontId="0" fillId="0" borderId="4" xfId="0" applyNumberFormat="1" applyBorder="1"/>
    <xf numFmtId="0" fontId="3" fillId="3" borderId="4" xfId="4" applyBorder="1"/>
    <xf numFmtId="0" fontId="2" fillId="2" borderId="4" xfId="3" applyBorder="1"/>
    <xf numFmtId="44" fontId="3" fillId="3" borderId="4" xfId="4" applyNumberFormat="1" applyBorder="1"/>
    <xf numFmtId="44" fontId="2" fillId="2" borderId="4" xfId="3" applyNumberFormat="1" applyBorder="1"/>
    <xf numFmtId="10" fontId="2" fillId="2" borderId="4" xfId="3" applyNumberFormat="1" applyBorder="1"/>
    <xf numFmtId="44" fontId="3" fillId="3" borderId="4" xfId="2" applyFont="1" applyFill="1" applyBorder="1"/>
    <xf numFmtId="164" fontId="0" fillId="0" borderId="4" xfId="0" applyNumberFormat="1" applyBorder="1"/>
    <xf numFmtId="0" fontId="3" fillId="3" borderId="5" xfId="4" applyBorder="1"/>
    <xf numFmtId="43" fontId="0" fillId="0" borderId="4" xfId="7" applyFont="1" applyBorder="1"/>
    <xf numFmtId="44" fontId="0" fillId="0" borderId="0" xfId="0" applyNumberFormat="1"/>
    <xf numFmtId="165" fontId="0" fillId="0" borderId="4" xfId="7" applyNumberFormat="1" applyFont="1" applyBorder="1"/>
    <xf numFmtId="43" fontId="0" fillId="0" borderId="0" xfId="0" applyNumberFormat="1"/>
    <xf numFmtId="4" fontId="0" fillId="0" borderId="0" xfId="0" applyNumberFormat="1"/>
    <xf numFmtId="0" fontId="3" fillId="3" borderId="1" xfId="4"/>
    <xf numFmtId="44" fontId="3" fillId="3" borderId="1" xfId="4" applyNumberFormat="1"/>
    <xf numFmtId="0" fontId="5" fillId="0" borderId="3" xfId="6"/>
    <xf numFmtId="0" fontId="6" fillId="0" borderId="0" xfId="8"/>
    <xf numFmtId="0" fontId="7" fillId="0" borderId="0" xfId="8" applyFont="1"/>
    <xf numFmtId="44" fontId="0" fillId="0" borderId="0" xfId="2" applyFont="1"/>
    <xf numFmtId="0" fontId="4" fillId="4" borderId="2" xfId="5"/>
    <xf numFmtId="0" fontId="2" fillId="2" borderId="1" xfId="3"/>
    <xf numFmtId="44" fontId="0" fillId="0" borderId="6" xfId="2" applyFont="1" applyFill="1" applyBorder="1"/>
    <xf numFmtId="44" fontId="0" fillId="0" borderId="0" xfId="2" applyFont="1" applyFill="1" applyBorder="1"/>
    <xf numFmtId="10" fontId="2" fillId="2" borderId="1" xfId="1" applyNumberFormat="1" applyFont="1" applyFill="1" applyBorder="1"/>
    <xf numFmtId="0" fontId="5" fillId="0" borderId="4" xfId="6" applyBorder="1" applyAlignment="1">
      <alignment horizontal="center"/>
    </xf>
  </cellXfs>
  <cellStyles count="9">
    <cellStyle name="Calculation" xfId="4" builtinId="22"/>
    <cellStyle name="Check Cell" xfId="5" builtinId="23"/>
    <cellStyle name="Comma" xfId="7" builtinId="3"/>
    <cellStyle name="Currency" xfId="2" builtinId="4"/>
    <cellStyle name="Heading 1" xfId="6" builtinId="16"/>
    <cellStyle name="Hyperlink" xfId="8" builtinId="8"/>
    <cellStyle name="Input" xfId="3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9</xdr:row>
      <xdr:rowOff>0</xdr:rowOff>
    </xdr:from>
    <xdr:to>
      <xdr:col>24</xdr:col>
      <xdr:colOff>365760</xdr:colOff>
      <xdr:row>11</xdr:row>
      <xdr:rowOff>178868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ED6174-CEDA-21AA-9FE6-55FCB2158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1640" y="1729740"/>
          <a:ext cx="7772400" cy="54462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24</xdr:col>
      <xdr:colOff>365760</xdr:colOff>
      <xdr:row>14</xdr:row>
      <xdr:rowOff>184031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F74F788-39B9-CB71-A90F-F185E9908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1640" y="2278380"/>
          <a:ext cx="7772400" cy="57265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24</xdr:col>
      <xdr:colOff>365760</xdr:colOff>
      <xdr:row>17</xdr:row>
      <xdr:rowOff>128982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94F39F-5D79-12F2-2E22-3C8679D76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1640" y="2827020"/>
          <a:ext cx="7772400" cy="494742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24</xdr:col>
      <xdr:colOff>365760</xdr:colOff>
      <xdr:row>20</xdr:row>
      <xdr:rowOff>140281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65260E4-50CE-ACFF-D57A-FF7A26094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1640" y="3375660"/>
          <a:ext cx="7772400" cy="50604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12</xdr:row>
      <xdr:rowOff>137160</xdr:rowOff>
    </xdr:from>
    <xdr:to>
      <xdr:col>24</xdr:col>
      <xdr:colOff>403860</xdr:colOff>
      <xdr:row>20</xdr:row>
      <xdr:rowOff>171076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363FC-9133-0FE1-3DBB-4880858D9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2140" y="2415540"/>
          <a:ext cx="7772400" cy="1527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9</xdr:row>
      <xdr:rowOff>0</xdr:rowOff>
    </xdr:from>
    <xdr:to>
      <xdr:col>24</xdr:col>
      <xdr:colOff>403860</xdr:colOff>
      <xdr:row>11</xdr:row>
      <xdr:rowOff>175906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A3A3AD-A1F5-E362-67CC-EDDC967DA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280" y="1729740"/>
          <a:ext cx="7772400" cy="54166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24</xdr:col>
      <xdr:colOff>403860</xdr:colOff>
      <xdr:row>14</xdr:row>
      <xdr:rowOff>105345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C9AA7A-BF63-A69F-4C7F-565C492A1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280" y="2278380"/>
          <a:ext cx="7772400" cy="49396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24</xdr:col>
      <xdr:colOff>403860</xdr:colOff>
      <xdr:row>18</xdr:row>
      <xdr:rowOff>26517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25EFAC-2AB9-973F-3CF2-10C44C0A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280" y="2827020"/>
          <a:ext cx="7772400" cy="5751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24</xdr:col>
      <xdr:colOff>365760</xdr:colOff>
      <xdr:row>15</xdr:row>
      <xdr:rowOff>104056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A18647-4079-96B2-75D0-53D5297D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8280" y="2461260"/>
          <a:ext cx="7772400" cy="46981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24</xdr:col>
      <xdr:colOff>365760</xdr:colOff>
      <xdr:row>18</xdr:row>
      <xdr:rowOff>74022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26853E-F0EB-D620-FE26-3C8E35B73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8280" y="3009900"/>
          <a:ext cx="7772400" cy="462642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24</xdr:col>
      <xdr:colOff>365760</xdr:colOff>
      <xdr:row>21</xdr:row>
      <xdr:rowOff>144681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86E80A-886A-FCCB-30FD-42FBC2FF9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8280" y="3558540"/>
          <a:ext cx="7772400" cy="51044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24</xdr:col>
      <xdr:colOff>365760</xdr:colOff>
      <xdr:row>24</xdr:row>
      <xdr:rowOff>155808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6C15EF4-7396-2CFD-D975-DA45CF66C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8280" y="4107180"/>
          <a:ext cx="7772400" cy="521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</xdr:colOff>
      <xdr:row>12</xdr:row>
      <xdr:rowOff>53340</xdr:rowOff>
    </xdr:from>
    <xdr:to>
      <xdr:col>24</xdr:col>
      <xdr:colOff>373380</xdr:colOff>
      <xdr:row>15</xdr:row>
      <xdr:rowOff>57359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8FB67D-7C25-ADA1-EACD-09B3F99D7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300" y="2331720"/>
          <a:ext cx="7772400" cy="552659"/>
        </a:xfrm>
        <a:prstGeom prst="rect">
          <a:avLst/>
        </a:prstGeom>
      </xdr:spPr>
    </xdr:pic>
    <xdr:clientData/>
  </xdr:twoCellAnchor>
  <xdr:twoCellAnchor editAs="oneCell">
    <xdr:from>
      <xdr:col>16</xdr:col>
      <xdr:colOff>58560</xdr:colOff>
      <xdr:row>14</xdr:row>
      <xdr:rowOff>172860</xdr:rowOff>
    </xdr:from>
    <xdr:to>
      <xdr:col>24</xdr:col>
      <xdr:colOff>424320</xdr:colOff>
      <xdr:row>17</xdr:row>
      <xdr:rowOff>144067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38CAA2-B67A-A04D-AFF2-924A72B1E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9240" y="2817000"/>
          <a:ext cx="7772400" cy="527467"/>
        </a:xfrm>
        <a:prstGeom prst="rect">
          <a:avLst/>
        </a:prstGeom>
      </xdr:spPr>
    </xdr:pic>
    <xdr:clientData/>
  </xdr:twoCellAnchor>
  <xdr:twoCellAnchor editAs="oneCell">
    <xdr:from>
      <xdr:col>16</xdr:col>
      <xdr:colOff>71400</xdr:colOff>
      <xdr:row>18</xdr:row>
      <xdr:rowOff>2820</xdr:rowOff>
    </xdr:from>
    <xdr:to>
      <xdr:col>24</xdr:col>
      <xdr:colOff>437160</xdr:colOff>
      <xdr:row>20</xdr:row>
      <xdr:rowOff>125658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F8A2EAA-AAA2-1FF8-957C-7E0F1A9BC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2080" y="3378480"/>
          <a:ext cx="7772400" cy="496218"/>
        </a:xfrm>
        <a:prstGeom prst="rect">
          <a:avLst/>
        </a:prstGeom>
      </xdr:spPr>
    </xdr:pic>
    <xdr:clientData/>
  </xdr:twoCellAnchor>
  <xdr:twoCellAnchor editAs="oneCell">
    <xdr:from>
      <xdr:col>16</xdr:col>
      <xdr:colOff>38520</xdr:colOff>
      <xdr:row>21</xdr:row>
      <xdr:rowOff>30900</xdr:rowOff>
    </xdr:from>
    <xdr:to>
      <xdr:col>24</xdr:col>
      <xdr:colOff>404280</xdr:colOff>
      <xdr:row>23</xdr:row>
      <xdr:rowOff>180962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78B015F-3B1A-2CE4-B42C-7EC1DCFD8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9200" y="3955200"/>
          <a:ext cx="7772400" cy="51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24</xdr:col>
      <xdr:colOff>365760</xdr:colOff>
      <xdr:row>26</xdr:row>
      <xdr:rowOff>70960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1DC2C0-9C82-2763-35C6-BE51D52E0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0" y="2461260"/>
          <a:ext cx="7772400" cy="25093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24</xdr:col>
      <xdr:colOff>365760</xdr:colOff>
      <xdr:row>23</xdr:row>
      <xdr:rowOff>41524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8835F4-7464-0C94-3B2D-AC1DAEC9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5460" y="2461260"/>
          <a:ext cx="7772400" cy="1900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15</xdr:row>
      <xdr:rowOff>0</xdr:rowOff>
    </xdr:from>
    <xdr:to>
      <xdr:col>24</xdr:col>
      <xdr:colOff>365760</xdr:colOff>
      <xdr:row>28</xdr:row>
      <xdr:rowOff>83759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DFA1CE-BDC2-E5E4-7C96-C5C7759C0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5460" y="2827020"/>
          <a:ext cx="7772400" cy="24916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14</xdr:row>
      <xdr:rowOff>0</xdr:rowOff>
    </xdr:from>
    <xdr:to>
      <xdr:col>24</xdr:col>
      <xdr:colOff>365760</xdr:colOff>
      <xdr:row>25</xdr:row>
      <xdr:rowOff>72054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5FF9E7-C718-8963-7F13-D7061EB75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4040" y="2644140"/>
          <a:ext cx="7772400" cy="21142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14</xdr:row>
      <xdr:rowOff>0</xdr:rowOff>
    </xdr:from>
    <xdr:to>
      <xdr:col>24</xdr:col>
      <xdr:colOff>365760</xdr:colOff>
      <xdr:row>16</xdr:row>
      <xdr:rowOff>160078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261FA9-8954-175A-6818-1980E1A8E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4040" y="2644140"/>
          <a:ext cx="7772400" cy="52583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</xdr:row>
      <xdr:rowOff>175260</xdr:rowOff>
    </xdr:from>
    <xdr:to>
      <xdr:col>24</xdr:col>
      <xdr:colOff>365760</xdr:colOff>
      <xdr:row>24</xdr:row>
      <xdr:rowOff>103151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8B4AAF-406E-50B0-88D3-CDF983DC0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4040" y="3185160"/>
          <a:ext cx="7772400" cy="1421411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</xdr:colOff>
      <xdr:row>24</xdr:row>
      <xdr:rowOff>99060</xdr:rowOff>
    </xdr:from>
    <xdr:to>
      <xdr:col>24</xdr:col>
      <xdr:colOff>381000</xdr:colOff>
      <xdr:row>27</xdr:row>
      <xdr:rowOff>53136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564CC0-37B5-2E32-F0FD-1C3DBD453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280" y="4602480"/>
          <a:ext cx="7772400" cy="502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plorer.runonflux.io/tx/25611cc5d7d78dad1c774cc800ae6c7f1700d3f6d9cb950dbdc4af978444e93d" TargetMode="External"/><Relationship Id="rId2" Type="http://schemas.openxmlformats.org/officeDocument/2006/relationships/hyperlink" Target="https://ftmscan.com/tx/0xe23906cea01e64712e5215ff321e5cba7cd887c64661e33033262acca9d977fc" TargetMode="External"/><Relationship Id="rId1" Type="http://schemas.openxmlformats.org/officeDocument/2006/relationships/hyperlink" Target="https://mainnet1.dagexplorer.io/transactions/e2ce018d54989a0ae58c1cbcdddd95a16787470b9970b6b2ad8e75c7eb01d1d5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therscan.io/tx/0x3d851a8cf649d166c4aafd4c362d3a751e0fa13af76f9c741cc60282c0353545" TargetMode="External"/><Relationship Id="rId2" Type="http://schemas.openxmlformats.org/officeDocument/2006/relationships/hyperlink" Target="https://etherscan.io/tx/0xc1ded80f456b34e3a4cb21684710bf0531cdc26bcdda00c4017b09f5398b2006" TargetMode="External"/><Relationship Id="rId1" Type="http://schemas.openxmlformats.org/officeDocument/2006/relationships/hyperlink" Target="https://explorer.runonflux.io/tx/3a33a06ee9be0da0e11b51a2edc2d924d556cd28a523dcda3fb8de6ae5694cd8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therscan.io/tx/0x04004961eb26f65ec9df73f538785e0162cdebc75b247fd6aa5c4bdcf8490d7b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xplorer.runonflux.io/tx/241d2876db6e78753abf8f6f5960b1a515f69dd8feed19247d9a453ece7fc590" TargetMode="External"/><Relationship Id="rId2" Type="http://schemas.openxmlformats.org/officeDocument/2006/relationships/hyperlink" Target="https://etherscan.io/tx/0xc0fe78ecb480aff4e2dbc45e6439bfa4c9274b755f8998295992a44f6989bdc8" TargetMode="External"/><Relationship Id="rId1" Type="http://schemas.openxmlformats.org/officeDocument/2006/relationships/hyperlink" Target="https://etherscan.io/tx/0x4b3eccfefc191d3fdcd6269b2872ee86da3c03e035fc75224cc6312e0c3bc1c5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etherscan.io/tx/0x7457f73622a7cd1a1f1bf95cdb2a46dd2e54ce129b6b08d5773b1eee7ecb7b7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therscan.io/tx/0x25856298ca50f476599c17dc3cbc071fff539fd59a8dd03c481b3c62fea70114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etherscan.io/tx/0x4c0912f49f85bb875edd5dbd9a3d3c28d1c71a47302e0b6ce09010219611d14e" TargetMode="External"/><Relationship Id="rId1" Type="http://schemas.openxmlformats.org/officeDocument/2006/relationships/hyperlink" Target="https://mainnet.dagexplorer.io/transactions/308b5b6c1e9c1284c4d43923a566af5f7d5c46e27b88b8ae9890193c8c8d1be7" TargetMode="External"/><Relationship Id="rId6" Type="http://schemas.openxmlformats.org/officeDocument/2006/relationships/hyperlink" Target="https://etherscan.io/tx/0xce1ad79503ab230548ab733544eeb57f355f58bf2ddf358cca4e894b2281bf58" TargetMode="External"/><Relationship Id="rId5" Type="http://schemas.openxmlformats.org/officeDocument/2006/relationships/hyperlink" Target="https://etherscan.io/tx/0xb84d6d370f641ed50605b9e8be7ce1981601166029179afd83841938a50e7042" TargetMode="External"/><Relationship Id="rId4" Type="http://schemas.openxmlformats.org/officeDocument/2006/relationships/hyperlink" Target="https://etherscan.io/tx/0xb3db04d2c3bffb2c7a5a0720c7f5bd310c24bc9757988851e55ad08d91627efc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lygonscan.com/tx/0x9daf282f421d8ec0ab62925f1c96d3147b8ae031676f4caa51c57c65d0d8f864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etherscan.io/tx/0xcf69beddb5a49691551638b3a63a12a29d5ff4180ca365b2ec23adf2162c6ffa" TargetMode="External"/><Relationship Id="rId7" Type="http://schemas.openxmlformats.org/officeDocument/2006/relationships/hyperlink" Target="https://polygonscan.com/tx/0xc19377b54e720e920f189885709a7ff77d01f53539a652de4e0d933b75441fd4" TargetMode="External"/><Relationship Id="rId12" Type="http://schemas.openxmlformats.org/officeDocument/2006/relationships/hyperlink" Target="https://etherscan.io/address/0x80B224B3890073AD024AD991e0740BeC53B37990" TargetMode="External"/><Relationship Id="rId2" Type="http://schemas.openxmlformats.org/officeDocument/2006/relationships/hyperlink" Target="https://etherscan.io/tx/0xee32b732e095d2d316ef4efdec4c432035a651a748c6239ea8d32c6e645298e9" TargetMode="External"/><Relationship Id="rId1" Type="http://schemas.openxmlformats.org/officeDocument/2006/relationships/hyperlink" Target="https://etherscan.io/tx/0x3a1debe4a9ffe2bbae748abd0aa97f059c7934f471b141caa093a97ee25a65ab" TargetMode="External"/><Relationship Id="rId6" Type="http://schemas.openxmlformats.org/officeDocument/2006/relationships/hyperlink" Target="https://polygonscan.com/tx/0x68137ee2bf6ef4466c6b939b0d97ba421c982e5d2220449946d9c2deab2a84ac" TargetMode="External"/><Relationship Id="rId11" Type="http://schemas.openxmlformats.org/officeDocument/2006/relationships/hyperlink" Target="https://mainnet.dagexplorer.io/transactions/eb705a093d2814d7a1d0ff74a4f9826de905a016bb480ab027b562227fc0c8d1" TargetMode="External"/><Relationship Id="rId5" Type="http://schemas.openxmlformats.org/officeDocument/2006/relationships/hyperlink" Target="https://explorer.flux.zelcore.io/tx/d18f6e510234f7f866438bf3b782651d3d715960de7d83e7a32766b17e2b8893" TargetMode="External"/><Relationship Id="rId10" Type="http://schemas.openxmlformats.org/officeDocument/2006/relationships/hyperlink" Target="https://etherscan.io/tx/0x0eafc5542e92cbebfe63aaee289a7c392c0636db094afe9711540080aa2d1a08" TargetMode="External"/><Relationship Id="rId4" Type="http://schemas.openxmlformats.org/officeDocument/2006/relationships/hyperlink" Target="https://etherscan.io/tx/0x000339bf9ae0aac02619d21168451318062605b8219aed12b276f8385e16624b" TargetMode="External"/><Relationship Id="rId9" Type="http://schemas.openxmlformats.org/officeDocument/2006/relationships/hyperlink" Target="https://polygonscan.com/tx/0x91b4c5194516249d778a7518390025743829233cde0ffa966e2efa9553cb261b" TargetMode="External"/><Relationship Id="rId1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therscan.io/tx/0x834c1388c48c3f2a796bee223d1d0162b7570fb23609366993129a4b5b88dbce" TargetMode="External"/><Relationship Id="rId3" Type="http://schemas.openxmlformats.org/officeDocument/2006/relationships/hyperlink" Target="https://etherscan.io/tx/0x1c04d3cee4480fd278ee69632b56e1947ed06af4fd8ab828884175cacd2be894" TargetMode="External"/><Relationship Id="rId7" Type="http://schemas.openxmlformats.org/officeDocument/2006/relationships/hyperlink" Target="https://explorer.flux.zelcore.io/tx/c3029a470ac58033b3bc93537d812166e6cb10a7dadb2cb5fb2b5e78281a26b4" TargetMode="External"/><Relationship Id="rId12" Type="http://schemas.openxmlformats.org/officeDocument/2006/relationships/drawing" Target="../drawings/drawing6.xml"/><Relationship Id="rId2" Type="http://schemas.openxmlformats.org/officeDocument/2006/relationships/hyperlink" Target="https://etherscan.io/tx/0x2eed8a9df3fd482837f58c071f0d7d219eec6396acbe9fd10fd756e39b23f7b7" TargetMode="External"/><Relationship Id="rId1" Type="http://schemas.openxmlformats.org/officeDocument/2006/relationships/hyperlink" Target="https://mainnet.dagexplorer.io/transactions/c97adc47ff5e35acc7f1d8c68a2277c53b4bb412ff33d65c6f2c9d0e834b839c" TargetMode="External"/><Relationship Id="rId6" Type="http://schemas.openxmlformats.org/officeDocument/2006/relationships/hyperlink" Target="https://etherscan.io/tx/0x7655f874c74773a896cf972ead7a1a2b9de67241554ea769364b9aba33f01828" TargetMode="External"/><Relationship Id="rId11" Type="http://schemas.openxmlformats.org/officeDocument/2006/relationships/hyperlink" Target="https://etherscan.io/tx/0xfb537073afacff68fc8fa0f3d1008165b9711a192502480bd493b183e469bf35" TargetMode="External"/><Relationship Id="rId5" Type="http://schemas.openxmlformats.org/officeDocument/2006/relationships/hyperlink" Target="https://etherscan.io/tx/0x8baf18f220ea89a093051804d2b1da90048cbf230b24f815929d54f491f5ab29" TargetMode="External"/><Relationship Id="rId10" Type="http://schemas.openxmlformats.org/officeDocument/2006/relationships/hyperlink" Target="https://etherscan.io/tx/0x057c5e6857ccd2fcf6d3177b3caa36a180409cf2efd33cba79dac46ec45b2d7c" TargetMode="External"/><Relationship Id="rId4" Type="http://schemas.openxmlformats.org/officeDocument/2006/relationships/hyperlink" Target="https://etherscan.io/tx/0x2b1bf7385b7df78d33605eeef8a7cd264859518ff2caa43a8408d0bac0933c41" TargetMode="External"/><Relationship Id="rId9" Type="http://schemas.openxmlformats.org/officeDocument/2006/relationships/hyperlink" Target="https://etherscan.io/tx/0xaf4f774678b1f20fa0411ea84d3dc9a5376f46861c4e42a3f3e4314bea0b1a4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snowtrace.io/tx/0xed9a62e26593c82a4490e46dab82283a1d53d605b915eab98b61c197c0a4d884" TargetMode="External"/><Relationship Id="rId7" Type="http://schemas.openxmlformats.org/officeDocument/2006/relationships/drawing" Target="../drawings/drawing7.xml"/><Relationship Id="rId2" Type="http://schemas.openxmlformats.org/officeDocument/2006/relationships/hyperlink" Target="https://ftmscan.com/address/0xb3b43e46501878949ea64665e52df24114458c12" TargetMode="External"/><Relationship Id="rId1" Type="http://schemas.openxmlformats.org/officeDocument/2006/relationships/hyperlink" Target="https://explorer.flux.zelcore.io/tx/f4963413252bc9845945ea64b9715a672ab87aaea43a26055bd98964da55aa1c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polygonscan.com/tx/0x7f8e0fe0447a0b011a99492da8d81352df99ff639feb7062f5e155f60a76be47" TargetMode="External"/><Relationship Id="rId4" Type="http://schemas.openxmlformats.org/officeDocument/2006/relationships/hyperlink" Target="https://polygonscan.com/tx/0x4df94745836c5acb481fe9962fc9554350905924b58e17713c8654fbc0f070aa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therscan.io/tx/0x728d813846003f6ff8c0feb255fb9d569b5dee27fb172ecda7984b4a690c25c2" TargetMode="External"/><Relationship Id="rId2" Type="http://schemas.openxmlformats.org/officeDocument/2006/relationships/hyperlink" Target="https://etherscan.io/tx/0x31172bcc7a46ccf86f7cfa7b953fac28dc7b38335e9166b5e703573e690c8bfc" TargetMode="External"/><Relationship Id="rId1" Type="http://schemas.openxmlformats.org/officeDocument/2006/relationships/hyperlink" Target="https://ftmscan.com/tx/0x8d8e793712e8ec995c6b4db6811937f9b3bc041bee8bf1614b9223bf1defe5be" TargetMode="External"/><Relationship Id="rId6" Type="http://schemas.openxmlformats.org/officeDocument/2006/relationships/drawing" Target="../drawings/drawing8.xml"/><Relationship Id="rId5" Type="http://schemas.openxmlformats.org/officeDocument/2006/relationships/hyperlink" Target="https://explorer.flux.zelcore.io/tx/bce43368c1f6a1702968637abe50b741aa772ceefd4da55b45130d2a75b0f8f6" TargetMode="External"/><Relationship Id="rId4" Type="http://schemas.openxmlformats.org/officeDocument/2006/relationships/hyperlink" Target="https://mainnet.dagexplorer.io/transactions/2f3bfc89a70c4765484a6d83b8c221cfe02335b19632cd971fdc9aec7446288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ftmscan.com/tx/0x0e947c7e962a6c65f28b003ef5b7d17b6bef44f864ecc43ac447b6cea67e6fa3" TargetMode="External"/><Relationship Id="rId1" Type="http://schemas.openxmlformats.org/officeDocument/2006/relationships/hyperlink" Target="https://explorer.flux.zelcore.io/tx/67c80f69e24de8523274fb28c3de85f46c70c114c484efd7f3d91c31326cc5bf%2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82B6-DE8D-4C7D-9778-F14D8A76C517}">
  <dimension ref="A1:S23"/>
  <sheetViews>
    <sheetView topLeftCell="B1" workbookViewId="0">
      <selection activeCell="H6" sqref="H6 F6"/>
    </sheetView>
  </sheetViews>
  <sheetFormatPr defaultRowHeight="14.4" x14ac:dyDescent="0.3"/>
  <cols>
    <col min="2" max="2" width="10.109375" bestFit="1" customWidth="1"/>
    <col min="3" max="3" width="19.21875" bestFit="1" customWidth="1"/>
    <col min="4" max="4" width="8.88671875" style="1"/>
    <col min="5" max="5" width="11.44140625" bestFit="1" customWidth="1"/>
    <col min="6" max="6" width="13.109375" bestFit="1" customWidth="1"/>
    <col min="8" max="8" width="13.77734375" bestFit="1" customWidth="1"/>
    <col min="9" max="9" width="14.109375" bestFit="1" customWidth="1"/>
    <col min="10" max="10" width="12.88671875" bestFit="1" customWidth="1"/>
    <col min="11" max="11" width="9.88671875" bestFit="1" customWidth="1"/>
    <col min="13" max="13" width="11.109375" bestFit="1" customWidth="1"/>
    <col min="14" max="14" width="13.44140625" bestFit="1" customWidth="1"/>
    <col min="15" max="15" width="19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145000</v>
      </c>
      <c r="D3" s="6">
        <v>1.44E-2</v>
      </c>
      <c r="E3" s="5">
        <f>D3*C3</f>
        <v>2088</v>
      </c>
      <c r="F3" s="7">
        <f>C3/B3</f>
        <v>0.453125</v>
      </c>
      <c r="H3" s="4">
        <v>0.74399999999999999</v>
      </c>
      <c r="I3" s="5">
        <f t="shared" ref="I3:I8" si="0">H3*B3</f>
        <v>238080</v>
      </c>
      <c r="J3" s="5">
        <f t="shared" ref="J3:J8" si="1">I3-C3</f>
        <v>93080</v>
      </c>
      <c r="K3" s="6">
        <f t="shared" ref="K3:K8" si="2">(H3-F3)/F3</f>
        <v>0.64193103448275857</v>
      </c>
      <c r="M3" s="4">
        <v>3201</v>
      </c>
      <c r="N3" s="5">
        <f>H3</f>
        <v>0.74399999999999999</v>
      </c>
      <c r="O3" s="5">
        <f>N3*M3</f>
        <v>2381.5439999999999</v>
      </c>
      <c r="Q3" s="24" t="s">
        <v>42</v>
      </c>
      <c r="R3" t="s">
        <v>61</v>
      </c>
      <c r="S3">
        <f>M3*0.05</f>
        <v>160.05000000000001</v>
      </c>
    </row>
    <row r="4" spans="1:19" x14ac:dyDescent="0.3">
      <c r="A4" s="4" t="s">
        <v>1</v>
      </c>
      <c r="B4" s="4">
        <v>2000000</v>
      </c>
      <c r="C4" s="5">
        <f>106500+(250000*0.067)</f>
        <v>123250</v>
      </c>
      <c r="D4" s="6">
        <v>0.01</v>
      </c>
      <c r="E4" s="5">
        <f t="shared" ref="E4:E8" si="3">D4*C4</f>
        <v>1232.5</v>
      </c>
      <c r="F4" s="7">
        <f t="shared" ref="F4:F8" si="4">C4/B4</f>
        <v>6.1624999999999999E-2</v>
      </c>
      <c r="H4" s="4">
        <v>0.1125</v>
      </c>
      <c r="I4" s="5">
        <f t="shared" si="0"/>
        <v>225000</v>
      </c>
      <c r="J4" s="5">
        <f t="shared" si="1"/>
        <v>101750</v>
      </c>
      <c r="K4" s="6">
        <f t="shared" si="2"/>
        <v>0.82555780933062883</v>
      </c>
      <c r="M4" s="4">
        <v>16000</v>
      </c>
      <c r="N4" s="5">
        <f>H4</f>
        <v>0.1125</v>
      </c>
      <c r="O4" s="5">
        <f t="shared" ref="O4:O8" si="5">N4*M4</f>
        <v>1800</v>
      </c>
      <c r="Q4" s="24" t="s">
        <v>38</v>
      </c>
      <c r="R4" t="s">
        <v>61</v>
      </c>
      <c r="S4">
        <f t="shared" ref="S4:S7" si="6">M4*0.05</f>
        <v>800</v>
      </c>
    </row>
    <row r="5" spans="1:19" x14ac:dyDescent="0.3">
      <c r="A5" s="4" t="s">
        <v>2</v>
      </c>
      <c r="B5" s="4">
        <v>10000</v>
      </c>
      <c r="C5" s="5">
        <v>160000</v>
      </c>
      <c r="D5" s="6">
        <v>8.0000000000000002E-3</v>
      </c>
      <c r="E5" s="5">
        <f t="shared" si="3"/>
        <v>1280</v>
      </c>
      <c r="F5" s="7">
        <f t="shared" si="4"/>
        <v>16</v>
      </c>
      <c r="H5" s="4">
        <v>29</v>
      </c>
      <c r="I5" s="5">
        <f t="shared" si="0"/>
        <v>290000</v>
      </c>
      <c r="J5" s="5">
        <f t="shared" si="1"/>
        <v>130000</v>
      </c>
      <c r="K5" s="6">
        <f t="shared" si="2"/>
        <v>0.8125</v>
      </c>
      <c r="M5" s="4">
        <v>78</v>
      </c>
      <c r="N5" s="5">
        <f>H5</f>
        <v>29</v>
      </c>
      <c r="O5" s="5">
        <f t="shared" si="5"/>
        <v>2262</v>
      </c>
      <c r="Q5" t="s">
        <v>39</v>
      </c>
      <c r="R5" t="s">
        <v>61</v>
      </c>
      <c r="S5">
        <f t="shared" si="6"/>
        <v>3.9000000000000004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si="4"/>
        <v>1140.625</v>
      </c>
      <c r="H6" s="4">
        <v>1900</v>
      </c>
      <c r="I6" s="5">
        <f t="shared" si="0"/>
        <v>243200</v>
      </c>
      <c r="J6" s="5">
        <f t="shared" si="1"/>
        <v>97200</v>
      </c>
      <c r="K6" s="6">
        <f t="shared" si="2"/>
        <v>0.66575342465753429</v>
      </c>
      <c r="M6" s="4">
        <v>0.5</v>
      </c>
      <c r="N6" s="5">
        <f>H6</f>
        <v>1900</v>
      </c>
      <c r="O6" s="5">
        <f t="shared" si="5"/>
        <v>950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500000</v>
      </c>
      <c r="C7" s="5">
        <v>119800</v>
      </c>
      <c r="D7" s="6">
        <v>8.9999999999999993E-3</v>
      </c>
      <c r="E7" s="5">
        <f t="shared" si="3"/>
        <v>1078.1999999999998</v>
      </c>
      <c r="F7" s="7">
        <f t="shared" si="4"/>
        <v>0.23960000000000001</v>
      </c>
      <c r="H7" s="4">
        <v>0.39600000000000002</v>
      </c>
      <c r="I7" s="5">
        <f t="shared" si="0"/>
        <v>198000</v>
      </c>
      <c r="J7" s="5">
        <f t="shared" si="1"/>
        <v>78200</v>
      </c>
      <c r="K7" s="6">
        <f t="shared" si="2"/>
        <v>0.65275459098497501</v>
      </c>
      <c r="M7" s="4">
        <v>6500</v>
      </c>
      <c r="N7" s="5">
        <f>H7</f>
        <v>0.39600000000000002</v>
      </c>
      <c r="O7" s="5">
        <f t="shared" si="5"/>
        <v>2574</v>
      </c>
      <c r="Q7" s="24" t="s">
        <v>41</v>
      </c>
      <c r="R7" t="s">
        <v>61</v>
      </c>
      <c r="S7">
        <f t="shared" si="6"/>
        <v>325</v>
      </c>
    </row>
    <row r="8" spans="1:19" x14ac:dyDescent="0.3">
      <c r="A8" s="4" t="s">
        <v>5</v>
      </c>
      <c r="B8" s="4">
        <v>1</v>
      </c>
      <c r="C8" s="5">
        <v>337000</v>
      </c>
      <c r="D8" s="6">
        <v>0.06</v>
      </c>
      <c r="E8" s="5">
        <f t="shared" si="3"/>
        <v>20220</v>
      </c>
      <c r="F8" s="7">
        <f t="shared" si="4"/>
        <v>337000</v>
      </c>
      <c r="H8" s="4">
        <v>337000</v>
      </c>
      <c r="I8" s="5">
        <f t="shared" si="0"/>
        <v>337000</v>
      </c>
      <c r="J8" s="5">
        <f t="shared" si="1"/>
        <v>0</v>
      </c>
      <c r="K8" s="6">
        <f t="shared" si="2"/>
        <v>0</v>
      </c>
      <c r="M8" s="5">
        <v>29417</v>
      </c>
      <c r="N8" s="5">
        <v>1</v>
      </c>
      <c r="O8" s="5">
        <f t="shared" si="5"/>
        <v>29417</v>
      </c>
      <c r="Q8" t="s">
        <v>45</v>
      </c>
      <c r="R8" t="s">
        <v>40</v>
      </c>
      <c r="S8" t="s">
        <v>40</v>
      </c>
    </row>
    <row r="9" spans="1:19" x14ac:dyDescent="0.3">
      <c r="C9" s="15" t="s">
        <v>13</v>
      </c>
      <c r="E9" s="8" t="s">
        <v>32</v>
      </c>
      <c r="I9" s="15" t="s">
        <v>14</v>
      </c>
      <c r="J9" s="15" t="s">
        <v>31</v>
      </c>
      <c r="O9" s="15" t="s">
        <v>33</v>
      </c>
    </row>
    <row r="10" spans="1:19" x14ac:dyDescent="0.3">
      <c r="C10" s="10">
        <f>SUM(C3:C8)</f>
        <v>1031050</v>
      </c>
      <c r="E10" s="10">
        <f>SUM(E3:E8)</f>
        <v>26438.9</v>
      </c>
      <c r="F10" s="11">
        <f>(E10/5000)/(2)</f>
        <v>2.6438900000000003</v>
      </c>
      <c r="I10" s="10">
        <f>SUM(I3:I8)</f>
        <v>1531280</v>
      </c>
      <c r="J10" s="10">
        <f>SUM(J3:J8)</f>
        <v>500230</v>
      </c>
      <c r="O10" s="13">
        <f>SUM(O3:O8)</f>
        <v>39384.544000000002</v>
      </c>
    </row>
    <row r="11" spans="1:19" x14ac:dyDescent="0.3">
      <c r="C11" s="9" t="s">
        <v>29</v>
      </c>
      <c r="O11" s="9" t="s">
        <v>21</v>
      </c>
    </row>
    <row r="12" spans="1:19" x14ac:dyDescent="0.3">
      <c r="C12" s="12">
        <f>E10/C10</f>
        <v>2.5642694340720626E-2</v>
      </c>
      <c r="O12" s="12">
        <f>O10/1031050</f>
        <v>3.8198481159982541E-2</v>
      </c>
    </row>
    <row r="13" spans="1:19" ht="15" thickBot="1" x14ac:dyDescent="0.35">
      <c r="O13" s="21" t="s">
        <v>37</v>
      </c>
    </row>
    <row r="14" spans="1:19" ht="15.6" thickTop="1" thickBot="1" x14ac:dyDescent="0.35">
      <c r="A14" s="27" t="s">
        <v>68</v>
      </c>
      <c r="B14" s="27" t="s">
        <v>11</v>
      </c>
      <c r="C14" s="27" t="s">
        <v>69</v>
      </c>
      <c r="O14" s="22">
        <f>O10*0.05</f>
        <v>1969.2272000000003</v>
      </c>
    </row>
    <row r="15" spans="1:19" ht="15" thickTop="1" x14ac:dyDescent="0.3">
      <c r="A15" t="s">
        <v>70</v>
      </c>
      <c r="B15" s="26">
        <v>235</v>
      </c>
      <c r="C15" s="24" t="s">
        <v>78</v>
      </c>
    </row>
    <row r="16" spans="1:19" x14ac:dyDescent="0.3">
      <c r="A16" t="s">
        <v>71</v>
      </c>
      <c r="B16" s="26">
        <v>5.5</v>
      </c>
      <c r="C16" s="24" t="s">
        <v>79</v>
      </c>
    </row>
    <row r="17" spans="1:3" x14ac:dyDescent="0.3">
      <c r="A17" t="s">
        <v>71</v>
      </c>
      <c r="B17" s="26">
        <v>546</v>
      </c>
      <c r="C17" s="24" t="s">
        <v>79</v>
      </c>
    </row>
    <row r="18" spans="1:3" x14ac:dyDescent="0.3">
      <c r="A18" t="s">
        <v>76</v>
      </c>
      <c r="B18" s="26">
        <v>640</v>
      </c>
      <c r="C18" s="24" t="s">
        <v>74</v>
      </c>
    </row>
    <row r="19" spans="1:3" x14ac:dyDescent="0.3">
      <c r="A19" t="s">
        <v>75</v>
      </c>
      <c r="B19" s="26">
        <v>640</v>
      </c>
      <c r="C19" s="24" t="s">
        <v>77</v>
      </c>
    </row>
    <row r="20" spans="1:3" x14ac:dyDescent="0.3">
      <c r="B20" s="26"/>
    </row>
    <row r="21" spans="1:3" x14ac:dyDescent="0.3">
      <c r="B21" s="26"/>
    </row>
    <row r="22" spans="1:3" x14ac:dyDescent="0.3">
      <c r="B22" s="26"/>
    </row>
    <row r="23" spans="1:3" x14ac:dyDescent="0.3">
      <c r="B23" s="26"/>
    </row>
  </sheetData>
  <sheetProtection algorithmName="SHA-512" hashValue="XxoOtlZ/6yxLGwXjZBxfeZfUyThcaImBWWOXSTTGhhrOudvokPyJHNOAlLlEtvQih2QlFOxU6XV6UE5iciaoiQ==" saltValue="SVPoiI4cfgY1d5p6NHzxgw==" spinCount="100000" sheet="1" objects="1" scenarios="1"/>
  <mergeCells count="3">
    <mergeCell ref="A1:F1"/>
    <mergeCell ref="M1:O1"/>
    <mergeCell ref="H1:K1"/>
  </mergeCells>
  <hyperlinks>
    <hyperlink ref="Q4" r:id="rId1" xr:uid="{7A81C848-43CF-40FB-988E-8E18CDB6380A}"/>
    <hyperlink ref="Q7" r:id="rId2" display="https://ftmscan.com/tx/0xe23906cea01e64712e5215ff321e5cba7cd887c64661e33033262acca9d977fc" xr:uid="{A708391A-7109-402D-A805-04B36E4D76E1}"/>
    <hyperlink ref="Q3" r:id="rId3" xr:uid="{F8B1F3D0-8DB6-4C6D-9809-8B277F30E615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2466-91B8-477E-B561-EF69E0E6AE07}">
  <dimension ref="A1:S26"/>
  <sheetViews>
    <sheetView tabSelected="1" workbookViewId="0">
      <selection activeCell="Q3" sqref="Q3"/>
    </sheetView>
  </sheetViews>
  <sheetFormatPr defaultRowHeight="14.4" x14ac:dyDescent="0.3"/>
  <cols>
    <col min="2" max="2" width="11.109375" bestFit="1" customWidth="1"/>
    <col min="3" max="3" width="14.109375" bestFit="1" customWidth="1"/>
    <col min="4" max="4" width="9.33203125" bestFit="1" customWidth="1"/>
    <col min="5" max="5" width="15.5546875" bestFit="1" customWidth="1"/>
    <col min="6" max="6" width="13.109375" bestFit="1" customWidth="1"/>
    <col min="8" max="8" width="13.77734375" bestFit="1" customWidth="1"/>
    <col min="9" max="10" width="14.109375" bestFit="1" customWidth="1"/>
    <col min="11" max="11" width="9.88671875" bestFit="1" customWidth="1"/>
    <col min="13" max="13" width="12.109375" bestFit="1" customWidth="1"/>
    <col min="14" max="14" width="12.5546875" bestFit="1" customWidth="1"/>
    <col min="15" max="15" width="18.21875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14">
        <f>C3/B3</f>
        <v>0.45329999999999998</v>
      </c>
      <c r="H3" s="4">
        <v>0.58109999999999995</v>
      </c>
      <c r="I3" s="5">
        <f t="shared" ref="I3:I9" si="0">H3*B3</f>
        <v>185951.99999999997</v>
      </c>
      <c r="J3" s="5">
        <f t="shared" ref="J3:J9" si="1">I3-C3</f>
        <v>40895.999999999971</v>
      </c>
      <c r="K3" s="6">
        <f t="shared" ref="K3:K10" si="2">(H3-F3)/F3</f>
        <v>0.28193249503639967</v>
      </c>
      <c r="M3" s="4">
        <v>1639</v>
      </c>
      <c r="N3" s="5">
        <f>H3</f>
        <v>0.58109999999999995</v>
      </c>
      <c r="O3" s="5">
        <f>N3*M3</f>
        <v>952.42289999999991</v>
      </c>
      <c r="Q3" s="24" t="s">
        <v>171</v>
      </c>
      <c r="R3" t="s">
        <v>61</v>
      </c>
      <c r="S3">
        <f>M3*0.05</f>
        <v>81.95</v>
      </c>
    </row>
    <row r="4" spans="1:19" x14ac:dyDescent="0.3">
      <c r="A4" s="4" t="s">
        <v>1</v>
      </c>
      <c r="B4" s="4">
        <v>3556859</v>
      </c>
      <c r="C4" s="5">
        <v>225158</v>
      </c>
      <c r="D4" s="6">
        <v>0.01</v>
      </c>
      <c r="E4" s="5">
        <f t="shared" ref="E4:E10" si="3">D4*C4</f>
        <v>2251.58</v>
      </c>
      <c r="F4" s="14">
        <v>6.4329999999999998E-2</v>
      </c>
      <c r="H4" s="4">
        <v>3.449E-2</v>
      </c>
      <c r="I4" s="5">
        <f>H4*B4</f>
        <v>122676.06690999999</v>
      </c>
      <c r="J4" s="5">
        <f>I4-C4</f>
        <v>-102481.93309000001</v>
      </c>
      <c r="K4" s="6">
        <f t="shared" si="2"/>
        <v>-0.46385823099642465</v>
      </c>
      <c r="M4" s="4">
        <v>16841</v>
      </c>
      <c r="N4" s="5">
        <f>H4</f>
        <v>3.449E-2</v>
      </c>
      <c r="O4" s="5">
        <f t="shared" ref="O4:O10" si="4">N4*M4</f>
        <v>580.84609</v>
      </c>
      <c r="Q4" s="24" t="s">
        <v>169</v>
      </c>
      <c r="R4" t="s">
        <v>61</v>
      </c>
      <c r="S4">
        <f t="shared" ref="S4:S9" si="5">M4*0.05</f>
        <v>842.05000000000007</v>
      </c>
    </row>
    <row r="5" spans="1:19" x14ac:dyDescent="0.3">
      <c r="A5" s="4" t="s">
        <v>2</v>
      </c>
      <c r="B5" s="4">
        <v>16813.5</v>
      </c>
      <c r="C5" s="5">
        <v>260990</v>
      </c>
      <c r="D5" s="6">
        <v>8.0000000000000002E-3</v>
      </c>
      <c r="E5" s="5">
        <f t="shared" si="3"/>
        <v>2087.92</v>
      </c>
      <c r="F5" s="7">
        <f>C5/B5</f>
        <v>15.522645493204864</v>
      </c>
      <c r="H5" s="4">
        <v>16.649999999999999</v>
      </c>
      <c r="I5" s="5">
        <f t="shared" si="0"/>
        <v>279944.77499999997</v>
      </c>
      <c r="J5" s="5">
        <f t="shared" si="1"/>
        <v>18954.774999999965</v>
      </c>
      <c r="K5" s="6">
        <f t="shared" si="2"/>
        <v>7.2626441626115909E-2</v>
      </c>
      <c r="M5" s="4">
        <v>100</v>
      </c>
      <c r="N5" s="5">
        <f>H5</f>
        <v>16.649999999999999</v>
      </c>
      <c r="O5" s="5">
        <f t="shared" si="4"/>
        <v>1664.9999999999998</v>
      </c>
      <c r="Q5" s="24" t="s">
        <v>166</v>
      </c>
      <c r="R5" t="s">
        <v>61</v>
      </c>
      <c r="S5">
        <f t="shared" si="5"/>
        <v>5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ref="F6:F9" si="6">C6/B6</f>
        <v>1140.625</v>
      </c>
      <c r="H6" s="4">
        <v>1834</v>
      </c>
      <c r="I6" s="5">
        <f t="shared" si="0"/>
        <v>234752</v>
      </c>
      <c r="J6" s="5">
        <f t="shared" si="1"/>
        <v>88752</v>
      </c>
      <c r="K6" s="6">
        <f t="shared" si="2"/>
        <v>0.60789041095890406</v>
      </c>
      <c r="M6" s="4">
        <v>0.5</v>
      </c>
      <c r="N6" s="5">
        <f>H6</f>
        <v>1834</v>
      </c>
      <c r="O6" s="5">
        <f t="shared" si="4"/>
        <v>917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813088</v>
      </c>
      <c r="C7" s="5">
        <v>185036</v>
      </c>
      <c r="D7" s="6">
        <v>8.9999999999999993E-3</v>
      </c>
      <c r="E7" s="5">
        <f t="shared" si="3"/>
        <v>1665.3239999999998</v>
      </c>
      <c r="F7" s="14">
        <f t="shared" si="6"/>
        <v>0.22757192333425164</v>
      </c>
      <c r="H7" s="4">
        <v>0.41160000000000002</v>
      </c>
      <c r="I7" s="5">
        <f t="shared" si="0"/>
        <v>334667.0208</v>
      </c>
      <c r="J7" s="5">
        <f t="shared" si="1"/>
        <v>149631.0208</v>
      </c>
      <c r="K7" s="6">
        <f t="shared" si="2"/>
        <v>0.80865896798460857</v>
      </c>
      <c r="M7" s="4">
        <v>3393</v>
      </c>
      <c r="N7" s="5">
        <f>H7</f>
        <v>0.41160000000000002</v>
      </c>
      <c r="O7" s="5">
        <f>N7*M7</f>
        <v>1396.5588</v>
      </c>
      <c r="Q7" s="24" t="s">
        <v>168</v>
      </c>
      <c r="R7" t="s">
        <v>61</v>
      </c>
      <c r="S7">
        <f t="shared" si="5"/>
        <v>169.65</v>
      </c>
    </row>
    <row r="8" spans="1:19" x14ac:dyDescent="0.3">
      <c r="A8" s="4" t="s">
        <v>5</v>
      </c>
      <c r="B8" s="4">
        <v>1</v>
      </c>
      <c r="C8" s="5">
        <v>337000</v>
      </c>
      <c r="D8" s="6">
        <v>1.6500000000000001E-2</v>
      </c>
      <c r="E8" s="5">
        <f t="shared" si="3"/>
        <v>5560.5</v>
      </c>
      <c r="F8" s="7">
        <f t="shared" si="6"/>
        <v>337000</v>
      </c>
      <c r="H8" s="4">
        <v>384893</v>
      </c>
      <c r="I8" s="5">
        <f t="shared" si="0"/>
        <v>384893</v>
      </c>
      <c r="J8" s="5">
        <v>0</v>
      </c>
      <c r="K8" s="6">
        <f t="shared" si="2"/>
        <v>0.14211572700296735</v>
      </c>
      <c r="M8" s="5">
        <v>0</v>
      </c>
      <c r="N8" s="5">
        <v>1</v>
      </c>
      <c r="O8" s="5">
        <f>N8*M8</f>
        <v>0</v>
      </c>
      <c r="P8" s="17"/>
      <c r="Q8" s="25" t="s">
        <v>40</v>
      </c>
      <c r="R8" t="s">
        <v>40</v>
      </c>
      <c r="S8" t="s">
        <v>40</v>
      </c>
    </row>
    <row r="9" spans="1:19" x14ac:dyDescent="0.3">
      <c r="A9" s="4" t="s">
        <v>26</v>
      </c>
      <c r="B9" s="4">
        <v>1</v>
      </c>
      <c r="C9" s="5">
        <v>100000</v>
      </c>
      <c r="D9" s="6">
        <v>6.5000000000000002E-2</v>
      </c>
      <c r="E9" s="5">
        <f t="shared" si="3"/>
        <v>6500</v>
      </c>
      <c r="F9" s="7">
        <f t="shared" si="6"/>
        <v>100000</v>
      </c>
      <c r="H9" s="4">
        <v>120000</v>
      </c>
      <c r="I9" s="5">
        <f t="shared" si="0"/>
        <v>120000</v>
      </c>
      <c r="J9" s="5">
        <f t="shared" si="1"/>
        <v>20000</v>
      </c>
      <c r="K9" s="6">
        <f t="shared" si="2"/>
        <v>0.2</v>
      </c>
      <c r="M9" s="5">
        <v>0</v>
      </c>
      <c r="N9" s="5">
        <v>1</v>
      </c>
      <c r="O9" s="5">
        <f>N9*M9</f>
        <v>0</v>
      </c>
      <c r="P9" s="17"/>
      <c r="Q9" t="s">
        <v>170</v>
      </c>
      <c r="R9" s="24"/>
      <c r="S9">
        <f t="shared" si="5"/>
        <v>0</v>
      </c>
    </row>
    <row r="10" spans="1:19" x14ac:dyDescent="0.3">
      <c r="A10" s="4" t="s">
        <v>27</v>
      </c>
      <c r="B10" s="4">
        <v>1</v>
      </c>
      <c r="C10" s="5">
        <v>0</v>
      </c>
      <c r="D10" s="6"/>
      <c r="E10" s="5">
        <f t="shared" si="3"/>
        <v>0</v>
      </c>
      <c r="F10" s="7">
        <f>C10/B10</f>
        <v>0</v>
      </c>
      <c r="H10" s="4">
        <v>0</v>
      </c>
      <c r="I10" s="5">
        <f>H10*B10</f>
        <v>0</v>
      </c>
      <c r="J10" s="5">
        <f>I10-C10</f>
        <v>0</v>
      </c>
      <c r="K10" s="6" t="e">
        <f t="shared" si="2"/>
        <v>#DIV/0!</v>
      </c>
      <c r="M10" s="5">
        <v>0</v>
      </c>
      <c r="N10" s="5">
        <v>1</v>
      </c>
      <c r="O10" s="5">
        <f t="shared" si="4"/>
        <v>0</v>
      </c>
      <c r="Q10" t="s">
        <v>40</v>
      </c>
      <c r="R10" t="s">
        <v>40</v>
      </c>
      <c r="S10" t="s">
        <v>40</v>
      </c>
    </row>
    <row r="11" spans="1:19" x14ac:dyDescent="0.3">
      <c r="A11" s="4" t="s">
        <v>30</v>
      </c>
      <c r="B11" s="4">
        <v>110</v>
      </c>
      <c r="C11" s="5">
        <v>110000</v>
      </c>
      <c r="D11" s="6"/>
      <c r="E11" s="5">
        <f>D11*C11</f>
        <v>0</v>
      </c>
      <c r="F11" s="7">
        <f>C11/B11</f>
        <v>1000</v>
      </c>
      <c r="H11" s="4">
        <v>1000</v>
      </c>
      <c r="I11" s="5">
        <f>H11*B11</f>
        <v>110000</v>
      </c>
      <c r="J11" s="5">
        <f>I11-C11</f>
        <v>0</v>
      </c>
      <c r="K11" s="6">
        <f>(H11-F11)/F11</f>
        <v>0</v>
      </c>
      <c r="M11" s="5">
        <v>0</v>
      </c>
      <c r="N11" s="5">
        <v>1</v>
      </c>
      <c r="O11" s="5">
        <f>M11*N11</f>
        <v>0</v>
      </c>
      <c r="P11" s="19"/>
      <c r="Q11" t="s">
        <v>40</v>
      </c>
      <c r="R11" t="s">
        <v>40</v>
      </c>
      <c r="S11" t="s">
        <v>40</v>
      </c>
    </row>
    <row r="12" spans="1:19" x14ac:dyDescent="0.3">
      <c r="A12" s="4" t="s">
        <v>122</v>
      </c>
      <c r="B12" s="4">
        <v>1</v>
      </c>
      <c r="C12" s="5">
        <v>100000</v>
      </c>
      <c r="D12" s="6"/>
      <c r="E12" s="5">
        <f>D12*C12</f>
        <v>0</v>
      </c>
      <c r="F12" s="7">
        <f>C12/B12</f>
        <v>100000</v>
      </c>
      <c r="H12" s="4">
        <f>B12</f>
        <v>1</v>
      </c>
      <c r="I12" s="5">
        <f>C12</f>
        <v>100000</v>
      </c>
      <c r="J12" s="5">
        <f>I12-C12</f>
        <v>0</v>
      </c>
      <c r="K12" s="6"/>
      <c r="M12" s="5" t="s">
        <v>40</v>
      </c>
      <c r="N12" s="5" t="s">
        <v>40</v>
      </c>
      <c r="O12" s="5" t="s">
        <v>40</v>
      </c>
      <c r="Q12" s="30" t="s">
        <v>40</v>
      </c>
      <c r="R12" s="30" t="s">
        <v>40</v>
      </c>
      <c r="S12" s="29" t="s">
        <v>40</v>
      </c>
    </row>
    <row r="13" spans="1:19" x14ac:dyDescent="0.3">
      <c r="C13" s="15" t="s">
        <v>13</v>
      </c>
      <c r="D13" s="1"/>
      <c r="E13" s="8" t="s">
        <v>32</v>
      </c>
      <c r="I13" s="15" t="s">
        <v>14</v>
      </c>
      <c r="J13" s="15" t="s">
        <v>31</v>
      </c>
      <c r="O13" s="15" t="s">
        <v>33</v>
      </c>
    </row>
    <row r="14" spans="1:19" x14ac:dyDescent="0.3">
      <c r="C14" s="10">
        <f>SUM(C3:C12)</f>
        <v>1609240</v>
      </c>
      <c r="D14" s="1"/>
      <c r="E14" s="10">
        <f>SUM(E3:E11)</f>
        <v>20694.330399999999</v>
      </c>
      <c r="I14" s="10">
        <f>SUM(I3:I12)</f>
        <v>1872884.86271</v>
      </c>
      <c r="J14" s="10">
        <f>SUM(J3:J11)</f>
        <v>215751.86270999993</v>
      </c>
      <c r="O14" s="13">
        <f>SUM(O3:O11)</f>
        <v>5511.8277899999994</v>
      </c>
    </row>
    <row r="15" spans="1:19" x14ac:dyDescent="0.3">
      <c r="C15" s="9" t="s">
        <v>29</v>
      </c>
      <c r="D15" s="1"/>
      <c r="I15" s="31">
        <f>(I14-C14)/C14</f>
        <v>0.16383190991399668</v>
      </c>
      <c r="J15" s="31" t="s">
        <v>167</v>
      </c>
      <c r="O15" s="9" t="s">
        <v>21</v>
      </c>
    </row>
    <row r="16" spans="1:19" x14ac:dyDescent="0.3">
      <c r="C16" s="12">
        <f>E14/C14</f>
        <v>1.2859691779970669E-2</v>
      </c>
      <c r="D16" s="1"/>
      <c r="O16" s="12">
        <f>O14/C14</f>
        <v>3.4251123449578679E-3</v>
      </c>
    </row>
    <row r="17" spans="1:15" ht="15" thickBot="1" x14ac:dyDescent="0.35">
      <c r="O17" s="21" t="s">
        <v>37</v>
      </c>
    </row>
    <row r="18" spans="1:15" ht="15.6" thickTop="1" thickBot="1" x14ac:dyDescent="0.35">
      <c r="A18" s="27" t="s">
        <v>68</v>
      </c>
      <c r="B18" s="27" t="s">
        <v>11</v>
      </c>
      <c r="C18" s="27" t="s">
        <v>69</v>
      </c>
      <c r="O18" s="22">
        <f>SUM(O9,O7,O6,O4,O3)*0.05</f>
        <v>192.34138949999999</v>
      </c>
    </row>
    <row r="19" spans="1:15" ht="15" thickTop="1" x14ac:dyDescent="0.3">
      <c r="A19" t="s">
        <v>71</v>
      </c>
      <c r="B19" s="26">
        <v>519</v>
      </c>
      <c r="C19" s="25" t="s">
        <v>165</v>
      </c>
    </row>
    <row r="20" spans="1:15" x14ac:dyDescent="0.3">
      <c r="A20" t="s">
        <v>72</v>
      </c>
      <c r="B20" s="26">
        <v>640</v>
      </c>
      <c r="C20" s="25" t="s">
        <v>165</v>
      </c>
    </row>
    <row r="21" spans="1:15" x14ac:dyDescent="0.3">
      <c r="A21" t="s">
        <v>155</v>
      </c>
      <c r="B21" s="26">
        <v>500</v>
      </c>
      <c r="C21" s="25" t="s">
        <v>165</v>
      </c>
      <c r="M21" s="20"/>
    </row>
    <row r="22" spans="1:15" x14ac:dyDescent="0.3">
      <c r="B22" s="30"/>
      <c r="C22" s="24"/>
    </row>
    <row r="23" spans="1:15" x14ac:dyDescent="0.3">
      <c r="B23" s="30"/>
      <c r="C23" s="24"/>
    </row>
    <row r="24" spans="1:15" x14ac:dyDescent="0.3">
      <c r="B24" s="30"/>
      <c r="C24" s="24"/>
    </row>
    <row r="25" spans="1:15" x14ac:dyDescent="0.3">
      <c r="B25" t="s">
        <v>11</v>
      </c>
    </row>
    <row r="26" spans="1:15" x14ac:dyDescent="0.3">
      <c r="B26" s="17">
        <f>SUM(B19:B24)</f>
        <v>1659</v>
      </c>
    </row>
  </sheetData>
  <sheetProtection algorithmName="SHA-512" hashValue="SNBmYsDxCXqsMUrzZJUa5o3ocnqH6FtTkfX5kDupcxyD+hGVSqCYpwxkEmoDo9DMFHuZ/XfZuFzL6rhGTo7udQ==" saltValue="GipfFa6fMBt2/YdKvHpQGA==" spinCount="100000" sheet="1" objects="1" scenarios="1"/>
  <mergeCells count="3">
    <mergeCell ref="A1:F1"/>
    <mergeCell ref="H1:K1"/>
    <mergeCell ref="M1:O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7167-C68A-46E4-B47F-AE6C375433B1}">
  <dimension ref="A1:S20"/>
  <sheetViews>
    <sheetView workbookViewId="0">
      <selection activeCell="H6" sqref="H6 B6"/>
    </sheetView>
  </sheetViews>
  <sheetFormatPr defaultRowHeight="14.4" x14ac:dyDescent="0.3"/>
  <cols>
    <col min="3" max="3" width="19.21875" bestFit="1" customWidth="1"/>
    <col min="5" max="5" width="15.5546875" bestFit="1" customWidth="1"/>
    <col min="6" max="6" width="13.109375" bestFit="1" customWidth="1"/>
    <col min="8" max="8" width="13.77734375" bestFit="1" customWidth="1"/>
    <col min="9" max="9" width="14.109375" bestFit="1" customWidth="1"/>
    <col min="10" max="10" width="12.88671875" bestFit="1" customWidth="1"/>
    <col min="11" max="11" width="9.88671875" bestFit="1" customWidth="1"/>
    <col min="13" max="13" width="11.109375" bestFit="1" customWidth="1"/>
    <col min="14" max="14" width="12.5546875" bestFit="1" customWidth="1"/>
    <col min="15" max="15" width="18.21875" bestFit="1" customWidth="1"/>
    <col min="17" max="17" width="31.77734375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7">
        <f>C3/B3</f>
        <v>0.45329999999999998</v>
      </c>
      <c r="H3" s="4">
        <v>1.26</v>
      </c>
      <c r="I3" s="5">
        <f t="shared" ref="I3:I8" si="0">H3*B3</f>
        <v>403200</v>
      </c>
      <c r="J3" s="5">
        <f t="shared" ref="J3:J8" si="1">I3-C3</f>
        <v>258144</v>
      </c>
      <c r="K3" s="6">
        <f t="shared" ref="K3:K8" si="2">(H3-F3)/F3</f>
        <v>1.7796161482461945</v>
      </c>
      <c r="M3" s="4">
        <v>4000</v>
      </c>
      <c r="N3" s="5">
        <f>H3</f>
        <v>1.26</v>
      </c>
      <c r="O3" s="5">
        <f>N3*M3</f>
        <v>5040</v>
      </c>
      <c r="Q3" s="24" t="s">
        <v>43</v>
      </c>
      <c r="R3" t="s">
        <v>61</v>
      </c>
      <c r="S3">
        <f>M3*0.05</f>
        <v>200</v>
      </c>
    </row>
    <row r="4" spans="1:19" x14ac:dyDescent="0.3">
      <c r="A4" s="4" t="s">
        <v>1</v>
      </c>
      <c r="B4" s="4">
        <v>2000000</v>
      </c>
      <c r="C4" s="5">
        <f>106500+(250000*0.067)</f>
        <v>123250</v>
      </c>
      <c r="D4" s="6">
        <v>0.01</v>
      </c>
      <c r="E4" s="5">
        <f t="shared" ref="E4:E8" si="3">D4*C4</f>
        <v>1232.5</v>
      </c>
      <c r="F4" s="7">
        <f t="shared" ref="F4:F8" si="4">C4/B4</f>
        <v>6.1624999999999999E-2</v>
      </c>
      <c r="H4" s="4">
        <v>7.2209999999999996E-2</v>
      </c>
      <c r="I4" s="5">
        <f t="shared" si="0"/>
        <v>144420</v>
      </c>
      <c r="J4" s="5">
        <f t="shared" si="1"/>
        <v>21170</v>
      </c>
      <c r="K4" s="6">
        <f t="shared" si="2"/>
        <v>0.1717647058823529</v>
      </c>
      <c r="M4" s="4">
        <v>14082</v>
      </c>
      <c r="N4" s="5">
        <f>H4</f>
        <v>7.2209999999999996E-2</v>
      </c>
      <c r="O4" s="5">
        <f t="shared" ref="O4:O8" si="5">N4*M4</f>
        <v>1016.86122</v>
      </c>
      <c r="Q4" s="25" t="s">
        <v>57</v>
      </c>
      <c r="R4" t="s">
        <v>61</v>
      </c>
      <c r="S4">
        <f t="shared" ref="S4:S9" si="6">M4*0.05</f>
        <v>704.1</v>
      </c>
    </row>
    <row r="5" spans="1:19" x14ac:dyDescent="0.3">
      <c r="A5" s="4" t="s">
        <v>2</v>
      </c>
      <c r="B5" s="4">
        <v>10000</v>
      </c>
      <c r="C5" s="5">
        <v>160000</v>
      </c>
      <c r="D5" s="6">
        <v>8.0000000000000002E-3</v>
      </c>
      <c r="E5" s="5">
        <f t="shared" si="3"/>
        <v>1280</v>
      </c>
      <c r="F5" s="7">
        <f t="shared" si="4"/>
        <v>16</v>
      </c>
      <c r="H5" s="4">
        <v>19</v>
      </c>
      <c r="I5" s="5">
        <f t="shared" si="0"/>
        <v>190000</v>
      </c>
      <c r="J5" s="5">
        <f t="shared" si="1"/>
        <v>30000</v>
      </c>
      <c r="K5" s="6">
        <f t="shared" si="2"/>
        <v>0.1875</v>
      </c>
      <c r="M5" s="4">
        <v>64.36</v>
      </c>
      <c r="N5" s="5">
        <f>H5</f>
        <v>19</v>
      </c>
      <c r="O5" s="5">
        <f t="shared" si="5"/>
        <v>1222.8399999999999</v>
      </c>
      <c r="Q5" t="s">
        <v>46</v>
      </c>
      <c r="R5" t="s">
        <v>61</v>
      </c>
      <c r="S5">
        <f t="shared" si="6"/>
        <v>3.218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si="4"/>
        <v>1140.625</v>
      </c>
      <c r="H6" s="4">
        <v>1637</v>
      </c>
      <c r="I6" s="5">
        <f t="shared" si="0"/>
        <v>209536</v>
      </c>
      <c r="J6" s="5">
        <f t="shared" si="1"/>
        <v>63536</v>
      </c>
      <c r="K6" s="6">
        <f t="shared" si="2"/>
        <v>0.43517808219178084</v>
      </c>
      <c r="M6" s="4">
        <v>0.5</v>
      </c>
      <c r="N6" s="5">
        <f>H6</f>
        <v>1637</v>
      </c>
      <c r="O6" s="5">
        <f t="shared" si="5"/>
        <v>818.5</v>
      </c>
      <c r="Q6" t="s">
        <v>44</v>
      </c>
      <c r="R6" t="s">
        <v>40</v>
      </c>
      <c r="S6" s="17" t="s">
        <v>40</v>
      </c>
    </row>
    <row r="7" spans="1:19" x14ac:dyDescent="0.3">
      <c r="A7" s="4" t="s">
        <v>4</v>
      </c>
      <c r="B7" s="4">
        <v>500000</v>
      </c>
      <c r="C7" s="5">
        <v>119800</v>
      </c>
      <c r="D7" s="6">
        <v>8.9999999999999993E-3</v>
      </c>
      <c r="E7" s="5">
        <f t="shared" si="3"/>
        <v>1078.1999999999998</v>
      </c>
      <c r="F7" s="7">
        <f t="shared" si="4"/>
        <v>0.23960000000000001</v>
      </c>
      <c r="H7" s="4">
        <v>0.251</v>
      </c>
      <c r="I7" s="5">
        <f t="shared" si="0"/>
        <v>125500</v>
      </c>
      <c r="J7" s="5">
        <f t="shared" si="1"/>
        <v>5700</v>
      </c>
      <c r="K7" s="6">
        <f t="shared" si="2"/>
        <v>4.7579298831385612E-2</v>
      </c>
      <c r="M7" s="4">
        <v>5483</v>
      </c>
      <c r="N7" s="5">
        <f>H7</f>
        <v>0.251</v>
      </c>
      <c r="O7" s="5">
        <f t="shared" si="5"/>
        <v>1376.2329999999999</v>
      </c>
      <c r="Q7" t="s">
        <v>46</v>
      </c>
      <c r="R7" t="s">
        <v>67</v>
      </c>
      <c r="S7">
        <f t="shared" si="6"/>
        <v>274.15000000000003</v>
      </c>
    </row>
    <row r="8" spans="1:19" x14ac:dyDescent="0.3">
      <c r="A8" s="4" t="s">
        <v>5</v>
      </c>
      <c r="B8" s="4">
        <v>1</v>
      </c>
      <c r="C8" s="5">
        <v>337000</v>
      </c>
      <c r="D8" s="6">
        <v>0.06</v>
      </c>
      <c r="E8" s="5">
        <f t="shared" si="3"/>
        <v>20220</v>
      </c>
      <c r="F8" s="7">
        <f t="shared" si="4"/>
        <v>337000</v>
      </c>
      <c r="H8" s="4">
        <v>337000</v>
      </c>
      <c r="I8" s="5">
        <f t="shared" si="0"/>
        <v>337000</v>
      </c>
      <c r="J8" s="5">
        <f t="shared" si="1"/>
        <v>0</v>
      </c>
      <c r="K8" s="6">
        <f t="shared" si="2"/>
        <v>0</v>
      </c>
      <c r="M8" s="5">
        <v>19650</v>
      </c>
      <c r="N8" s="5">
        <v>1</v>
      </c>
      <c r="O8" s="5">
        <f t="shared" si="5"/>
        <v>19650</v>
      </c>
      <c r="Q8" t="s">
        <v>47</v>
      </c>
      <c r="S8" s="26">
        <f t="shared" si="6"/>
        <v>982.5</v>
      </c>
    </row>
    <row r="9" spans="1:19" x14ac:dyDescent="0.3">
      <c r="C9" s="15" t="s">
        <v>13</v>
      </c>
      <c r="D9" s="1"/>
      <c r="E9" s="8" t="s">
        <v>32</v>
      </c>
      <c r="I9" s="15" t="s">
        <v>14</v>
      </c>
      <c r="J9" s="15" t="s">
        <v>31</v>
      </c>
      <c r="O9" s="15" t="s">
        <v>33</v>
      </c>
      <c r="S9">
        <f t="shared" si="6"/>
        <v>0</v>
      </c>
    </row>
    <row r="10" spans="1:19" x14ac:dyDescent="0.3">
      <c r="C10" s="10">
        <f>SUM(C3:C8)</f>
        <v>1031106</v>
      </c>
      <c r="D10" s="1"/>
      <c r="E10" s="10">
        <f>SUM(E3:E8)</f>
        <v>26439.706399999999</v>
      </c>
      <c r="I10" s="10">
        <f>SUM(I3:I8)</f>
        <v>1409656</v>
      </c>
      <c r="J10" s="10">
        <f>SUM(J3:J8)</f>
        <v>378550</v>
      </c>
      <c r="O10" s="13">
        <f>SUM(O3:O8)</f>
        <v>29124.434219999999</v>
      </c>
    </row>
    <row r="11" spans="1:19" x14ac:dyDescent="0.3">
      <c r="C11" s="9" t="s">
        <v>29</v>
      </c>
      <c r="D11" s="1"/>
      <c r="O11" s="9" t="s">
        <v>21</v>
      </c>
    </row>
    <row r="12" spans="1:19" x14ac:dyDescent="0.3">
      <c r="C12" s="12">
        <f>E10/C10</f>
        <v>2.5642083743087518E-2</v>
      </c>
      <c r="D12" s="1"/>
      <c r="O12" s="12">
        <f>O10/1031050</f>
        <v>2.8247353881964987E-2</v>
      </c>
    </row>
    <row r="13" spans="1:19" ht="15" thickBot="1" x14ac:dyDescent="0.35">
      <c r="O13" s="21" t="s">
        <v>37</v>
      </c>
    </row>
    <row r="14" spans="1:19" ht="15.6" thickTop="1" thickBot="1" x14ac:dyDescent="0.35">
      <c r="A14" s="27" t="s">
        <v>68</v>
      </c>
      <c r="B14" s="27" t="s">
        <v>11</v>
      </c>
      <c r="C14" s="27" t="s">
        <v>69</v>
      </c>
      <c r="O14" s="22">
        <f>O10*0.05</f>
        <v>1456.2217110000001</v>
      </c>
    </row>
    <row r="15" spans="1:19" ht="15" thickTop="1" x14ac:dyDescent="0.3">
      <c r="A15" t="s">
        <v>71</v>
      </c>
      <c r="B15" s="26">
        <v>499</v>
      </c>
      <c r="C15" s="24" t="s">
        <v>81</v>
      </c>
    </row>
    <row r="16" spans="1:19" x14ac:dyDescent="0.3">
      <c r="A16" t="s">
        <v>72</v>
      </c>
      <c r="B16" s="26">
        <v>640</v>
      </c>
      <c r="C16" s="24" t="s">
        <v>80</v>
      </c>
    </row>
    <row r="17" spans="1:3" x14ac:dyDescent="0.3">
      <c r="A17" t="s">
        <v>73</v>
      </c>
      <c r="B17" s="26">
        <v>45.43</v>
      </c>
      <c r="C17" s="24" t="s">
        <v>82</v>
      </c>
    </row>
    <row r="18" spans="1:3" x14ac:dyDescent="0.3">
      <c r="B18" s="26"/>
    </row>
    <row r="19" spans="1:3" x14ac:dyDescent="0.3">
      <c r="B19" s="26"/>
    </row>
    <row r="20" spans="1:3" x14ac:dyDescent="0.3">
      <c r="B20" s="26"/>
    </row>
  </sheetData>
  <sheetProtection algorithmName="SHA-512" hashValue="Vxf0EdJ54WT1I0ZFcc3XPclZwqIbFLHy5WBMV3XDpW3gQcbphYoOGRkzAnKjVcluy0joDTWmq/KMMKNkh7A3rQ==" saltValue="fFh7q8hN68QSWlr4+ECv0Q==" spinCount="100000" sheet="1" objects="1" scenarios="1"/>
  <mergeCells count="3">
    <mergeCell ref="A1:F1"/>
    <mergeCell ref="H1:K1"/>
    <mergeCell ref="M1:O1"/>
  </mergeCells>
  <hyperlinks>
    <hyperlink ref="Q3" r:id="rId1" xr:uid="{F1326B8C-774F-4A1A-A2FB-28C354FABB08}"/>
    <hyperlink ref="C16" r:id="rId2" xr:uid="{627A5650-DCF5-4B16-A579-75490D9E880F}"/>
    <hyperlink ref="C15" r:id="rId3" xr:uid="{DF3716A0-91E1-4398-9F18-21B8E5DCB334}"/>
    <hyperlink ref="C17" r:id="rId4" xr:uid="{71A84A14-ADE3-46A5-845F-3348FB86D3AD}"/>
  </hyperlinks>
  <pageMargins left="0.7" right="0.7" top="0.75" bottom="0.75" header="0.3" footer="0.3"/>
  <pageSetup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7A8A3-B171-41CD-ABDD-700F098FEBDF}">
  <dimension ref="A1:S21"/>
  <sheetViews>
    <sheetView workbookViewId="0">
      <selection activeCell="H8" sqref="H8 B8"/>
    </sheetView>
  </sheetViews>
  <sheetFormatPr defaultRowHeight="14.4" x14ac:dyDescent="0.3"/>
  <cols>
    <col min="2" max="2" width="8.6640625" bestFit="1" customWidth="1"/>
    <col min="3" max="3" width="14.109375" bestFit="1" customWidth="1"/>
    <col min="4" max="4" width="9.33203125" bestFit="1" customWidth="1"/>
    <col min="5" max="5" width="15.5546875" bestFit="1" customWidth="1"/>
    <col min="6" max="6" width="13.109375" bestFit="1" customWidth="1"/>
    <col min="8" max="8" width="13.77734375" bestFit="1" customWidth="1"/>
    <col min="9" max="9" width="14.109375" bestFit="1" customWidth="1"/>
    <col min="10" max="10" width="12.88671875" bestFit="1" customWidth="1"/>
    <col min="11" max="11" width="9.88671875" bestFit="1" customWidth="1"/>
    <col min="13" max="13" width="11.109375" bestFit="1" customWidth="1"/>
    <col min="14" max="14" width="12.5546875" bestFit="1" customWidth="1"/>
    <col min="15" max="15" width="18.21875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14">
        <f>C3/B3</f>
        <v>0.45329999999999998</v>
      </c>
      <c r="H3" s="4">
        <v>0.81499999999999995</v>
      </c>
      <c r="I3" s="5">
        <f t="shared" ref="I3:I12" si="0">H3*B3</f>
        <v>260799.99999999997</v>
      </c>
      <c r="J3" s="5">
        <f t="shared" ref="J3:J12" si="1">I3-C3</f>
        <v>115743.99999999997</v>
      </c>
      <c r="K3" s="6">
        <f t="shared" ref="K3:K12" si="2">(H3-F3)/F3</f>
        <v>0.79792631811162584</v>
      </c>
      <c r="M3" s="4">
        <v>2630</v>
      </c>
      <c r="N3" s="5">
        <f>H3</f>
        <v>0.81499999999999995</v>
      </c>
      <c r="O3" s="5">
        <f>N3*M3</f>
        <v>2143.4499999999998</v>
      </c>
      <c r="Q3" s="24" t="s">
        <v>55</v>
      </c>
      <c r="R3" t="s">
        <v>64</v>
      </c>
      <c r="S3">
        <f>M3*0.05</f>
        <v>131.5</v>
      </c>
    </row>
    <row r="4" spans="1:19" x14ac:dyDescent="0.3">
      <c r="A4" s="4" t="s">
        <v>1</v>
      </c>
      <c r="B4" s="4">
        <v>3250000</v>
      </c>
      <c r="C4" s="5">
        <v>211727</v>
      </c>
      <c r="D4" s="6">
        <v>0.01</v>
      </c>
      <c r="E4" s="5">
        <f t="shared" ref="E4:E12" si="3">D4*C4</f>
        <v>2117.27</v>
      </c>
      <c r="F4" s="14">
        <f t="shared" ref="F4:F12" si="4">C4/B4</f>
        <v>6.514676923076923E-2</v>
      </c>
      <c r="H4" s="4">
        <v>7.1999999999999995E-2</v>
      </c>
      <c r="I4" s="5">
        <f t="shared" si="0"/>
        <v>233999.99999999997</v>
      </c>
      <c r="J4" s="5">
        <f t="shared" si="1"/>
        <v>22272.999999999971</v>
      </c>
      <c r="K4" s="6">
        <f t="shared" si="2"/>
        <v>0.10519678642780554</v>
      </c>
      <c r="M4" s="4">
        <v>18821</v>
      </c>
      <c r="N4" s="5">
        <f>H4</f>
        <v>7.1999999999999995E-2</v>
      </c>
      <c r="O4" s="5">
        <f t="shared" ref="O4:O12" si="5">N4*M4</f>
        <v>1355.1119999999999</v>
      </c>
      <c r="Q4" s="25" t="s">
        <v>56</v>
      </c>
      <c r="R4" t="s">
        <v>65</v>
      </c>
      <c r="S4">
        <f t="shared" ref="S4:S7" si="6">M4*0.05</f>
        <v>941.05000000000007</v>
      </c>
    </row>
    <row r="5" spans="1:19" x14ac:dyDescent="0.3">
      <c r="A5" s="4" t="s">
        <v>2</v>
      </c>
      <c r="B5" s="4">
        <v>12448</v>
      </c>
      <c r="C5" s="5">
        <v>201661</v>
      </c>
      <c r="D5" s="6">
        <v>8.0000000000000002E-3</v>
      </c>
      <c r="E5" s="5">
        <f t="shared" si="3"/>
        <v>1613.288</v>
      </c>
      <c r="F5" s="7">
        <f t="shared" si="4"/>
        <v>16.200273136246786</v>
      </c>
      <c r="H5" s="4">
        <v>17.350000000000001</v>
      </c>
      <c r="I5" s="5">
        <f t="shared" si="0"/>
        <v>215972.80000000002</v>
      </c>
      <c r="J5" s="5">
        <f t="shared" si="1"/>
        <v>14311.800000000017</v>
      </c>
      <c r="K5" s="6">
        <f t="shared" si="2"/>
        <v>7.0969597492822264E-2</v>
      </c>
      <c r="M5" s="4">
        <v>43.5</v>
      </c>
      <c r="N5" s="5">
        <f>H5</f>
        <v>17.350000000000001</v>
      </c>
      <c r="O5" s="5">
        <f t="shared" si="5"/>
        <v>754.72500000000002</v>
      </c>
      <c r="Q5" t="s">
        <v>46</v>
      </c>
      <c r="R5" t="s">
        <v>64</v>
      </c>
      <c r="S5">
        <f t="shared" si="6"/>
        <v>2.1750000000000003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si="4"/>
        <v>1140.625</v>
      </c>
      <c r="H6" s="4">
        <v>1330</v>
      </c>
      <c r="I6" s="5">
        <f t="shared" si="0"/>
        <v>170240</v>
      </c>
      <c r="J6" s="5">
        <f t="shared" si="1"/>
        <v>24240</v>
      </c>
      <c r="K6" s="6">
        <f t="shared" si="2"/>
        <v>0.16602739726027396</v>
      </c>
      <c r="M6" s="4">
        <v>0.5</v>
      </c>
      <c r="N6" s="5">
        <f>H6</f>
        <v>1330</v>
      </c>
      <c r="O6" s="5">
        <f t="shared" si="5"/>
        <v>665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664160</v>
      </c>
      <c r="C7" s="5">
        <v>158800</v>
      </c>
      <c r="D7" s="6">
        <v>8.9999999999999993E-3</v>
      </c>
      <c r="E7" s="5">
        <f t="shared" si="3"/>
        <v>1429.1999999999998</v>
      </c>
      <c r="F7" s="14">
        <f t="shared" si="4"/>
        <v>0.23909901228619609</v>
      </c>
      <c r="H7" s="4">
        <v>0.22700000000000001</v>
      </c>
      <c r="I7" s="5">
        <f t="shared" si="0"/>
        <v>150764.32</v>
      </c>
      <c r="J7" s="5">
        <f t="shared" si="1"/>
        <v>-8035.679999999993</v>
      </c>
      <c r="K7" s="6">
        <f t="shared" si="2"/>
        <v>-5.0602518891687612E-2</v>
      </c>
      <c r="M7" s="4">
        <v>4564.08</v>
      </c>
      <c r="N7" s="5">
        <f>H7</f>
        <v>0.22700000000000001</v>
      </c>
      <c r="O7" s="5">
        <f t="shared" si="5"/>
        <v>1036.0461600000001</v>
      </c>
      <c r="Q7" t="s">
        <v>46</v>
      </c>
      <c r="R7" t="s">
        <v>64</v>
      </c>
      <c r="S7">
        <f t="shared" si="6"/>
        <v>228.20400000000001</v>
      </c>
    </row>
    <row r="8" spans="1:19" x14ac:dyDescent="0.3">
      <c r="A8" s="4" t="s">
        <v>5</v>
      </c>
      <c r="B8" s="4">
        <v>1</v>
      </c>
      <c r="C8" s="5">
        <v>337000</v>
      </c>
      <c r="D8" s="6">
        <v>0.06</v>
      </c>
      <c r="E8" s="5">
        <f t="shared" si="3"/>
        <v>20220</v>
      </c>
      <c r="F8" s="7">
        <f t="shared" si="4"/>
        <v>337000</v>
      </c>
      <c r="H8" s="4">
        <v>337000</v>
      </c>
      <c r="I8" s="5">
        <f t="shared" si="0"/>
        <v>337000</v>
      </c>
      <c r="J8" s="5">
        <f t="shared" si="1"/>
        <v>0</v>
      </c>
      <c r="K8" s="6">
        <f t="shared" si="2"/>
        <v>0</v>
      </c>
      <c r="M8" s="5">
        <v>0</v>
      </c>
      <c r="N8" s="5">
        <v>1</v>
      </c>
      <c r="O8" s="5">
        <f t="shared" si="5"/>
        <v>0</v>
      </c>
      <c r="P8" s="17"/>
      <c r="Q8" t="s">
        <v>50</v>
      </c>
      <c r="R8" t="s">
        <v>40</v>
      </c>
      <c r="S8" t="s">
        <v>40</v>
      </c>
    </row>
    <row r="9" spans="1:19" x14ac:dyDescent="0.3">
      <c r="A9" s="4" t="s">
        <v>28</v>
      </c>
      <c r="B9" s="4">
        <v>200000</v>
      </c>
      <c r="C9" s="5">
        <v>110000</v>
      </c>
      <c r="D9" s="6">
        <v>0.05</v>
      </c>
      <c r="E9" s="5">
        <f t="shared" si="3"/>
        <v>5500</v>
      </c>
      <c r="F9" s="7">
        <f t="shared" si="4"/>
        <v>0.55000000000000004</v>
      </c>
      <c r="H9" s="4">
        <v>0.65</v>
      </c>
      <c r="I9" s="5">
        <f t="shared" si="0"/>
        <v>130000</v>
      </c>
      <c r="J9" s="5">
        <f t="shared" si="1"/>
        <v>20000</v>
      </c>
      <c r="K9" s="6">
        <f t="shared" si="2"/>
        <v>0.18181818181818177</v>
      </c>
      <c r="M9" s="16">
        <v>6760</v>
      </c>
      <c r="N9" s="5">
        <f>H9</f>
        <v>0.65</v>
      </c>
      <c r="O9" s="5">
        <f>M9*N9</f>
        <v>4394</v>
      </c>
      <c r="P9" t="s">
        <v>49</v>
      </c>
      <c r="Q9" t="s">
        <v>48</v>
      </c>
      <c r="R9" t="s">
        <v>40</v>
      </c>
      <c r="S9" t="s">
        <v>40</v>
      </c>
    </row>
    <row r="10" spans="1:19" x14ac:dyDescent="0.3">
      <c r="A10" s="4" t="s">
        <v>25</v>
      </c>
      <c r="B10" s="4">
        <v>4204503</v>
      </c>
      <c r="C10" s="5">
        <v>491875</v>
      </c>
      <c r="D10" s="6">
        <v>0.01</v>
      </c>
      <c r="E10" s="5">
        <f t="shared" si="3"/>
        <v>4918.75</v>
      </c>
      <c r="F10" s="14">
        <f t="shared" si="4"/>
        <v>0.11698766774574783</v>
      </c>
      <c r="H10" s="4">
        <v>0.11</v>
      </c>
      <c r="I10" s="5">
        <f t="shared" si="0"/>
        <v>462495.33</v>
      </c>
      <c r="J10" s="5">
        <f t="shared" si="1"/>
        <v>-29379.669999999984</v>
      </c>
      <c r="K10" s="6">
        <f t="shared" si="2"/>
        <v>-5.9729951715374797E-2</v>
      </c>
      <c r="M10" s="18">
        <v>0</v>
      </c>
      <c r="N10" s="5">
        <f>H10</f>
        <v>0.11</v>
      </c>
      <c r="O10" s="5">
        <f t="shared" si="5"/>
        <v>0</v>
      </c>
      <c r="Q10" t="s">
        <v>40</v>
      </c>
      <c r="R10" t="s">
        <v>40</v>
      </c>
      <c r="S10" t="s">
        <v>40</v>
      </c>
    </row>
    <row r="11" spans="1:19" x14ac:dyDescent="0.3">
      <c r="A11" s="4" t="s">
        <v>26</v>
      </c>
      <c r="B11" s="4">
        <v>1</v>
      </c>
      <c r="C11" s="5">
        <v>50000</v>
      </c>
      <c r="D11" s="6">
        <v>7.0000000000000007E-2</v>
      </c>
      <c r="E11" s="5">
        <f t="shared" si="3"/>
        <v>3500.0000000000005</v>
      </c>
      <c r="F11" s="7">
        <f t="shared" si="4"/>
        <v>50000</v>
      </c>
      <c r="H11" s="4">
        <v>50000</v>
      </c>
      <c r="I11" s="5">
        <f t="shared" si="0"/>
        <v>50000</v>
      </c>
      <c r="J11" s="5">
        <f t="shared" si="1"/>
        <v>0</v>
      </c>
      <c r="K11" s="6">
        <f t="shared" si="2"/>
        <v>0</v>
      </c>
      <c r="M11" s="18">
        <v>0</v>
      </c>
      <c r="N11" s="5">
        <v>1</v>
      </c>
      <c r="O11" s="5">
        <v>4544.3500000000004</v>
      </c>
      <c r="P11" s="17"/>
      <c r="Q11" s="24" t="s">
        <v>54</v>
      </c>
      <c r="R11" s="24" t="s">
        <v>53</v>
      </c>
      <c r="S11" s="17">
        <f>O11*0.05</f>
        <v>227.21750000000003</v>
      </c>
    </row>
    <row r="12" spans="1:19" x14ac:dyDescent="0.3">
      <c r="A12" s="4" t="s">
        <v>27</v>
      </c>
      <c r="B12" s="4">
        <v>1</v>
      </c>
      <c r="C12" s="5">
        <v>50000</v>
      </c>
      <c r="D12" s="6"/>
      <c r="E12" s="5">
        <f t="shared" si="3"/>
        <v>0</v>
      </c>
      <c r="F12" s="7">
        <f t="shared" si="4"/>
        <v>50000</v>
      </c>
      <c r="H12" s="4">
        <v>50000</v>
      </c>
      <c r="I12" s="5">
        <f t="shared" si="0"/>
        <v>50000</v>
      </c>
      <c r="J12" s="5">
        <f t="shared" si="1"/>
        <v>0</v>
      </c>
      <c r="K12" s="6">
        <f t="shared" si="2"/>
        <v>0</v>
      </c>
      <c r="M12" s="18">
        <v>0</v>
      </c>
      <c r="N12" s="5">
        <v>1</v>
      </c>
      <c r="O12" s="5">
        <f t="shared" si="5"/>
        <v>0</v>
      </c>
      <c r="Q12" t="s">
        <v>40</v>
      </c>
      <c r="R12" t="s">
        <v>40</v>
      </c>
      <c r="S12" t="s">
        <v>40</v>
      </c>
    </row>
    <row r="13" spans="1:19" x14ac:dyDescent="0.3">
      <c r="C13" s="15" t="s">
        <v>13</v>
      </c>
      <c r="D13" s="1"/>
      <c r="E13" s="8" t="s">
        <v>32</v>
      </c>
      <c r="I13" s="15" t="s">
        <v>14</v>
      </c>
      <c r="J13" s="15" t="s">
        <v>31</v>
      </c>
      <c r="O13" s="15" t="s">
        <v>33</v>
      </c>
    </row>
    <row r="14" spans="1:19" x14ac:dyDescent="0.3">
      <c r="C14" s="10">
        <f>SUM(C3:C12)</f>
        <v>1902119</v>
      </c>
      <c r="D14" s="1"/>
      <c r="E14" s="10">
        <f>SUM(E3:E12)</f>
        <v>41927.5144</v>
      </c>
      <c r="I14" s="10">
        <f>SUM(I3:I12)</f>
        <v>2061272.45</v>
      </c>
      <c r="J14" s="10">
        <f>SUM(J3:J12)</f>
        <v>159153.44999999998</v>
      </c>
      <c r="O14" s="13">
        <f>SUM(O3:O12)</f>
        <v>14892.68316</v>
      </c>
    </row>
    <row r="15" spans="1:19" x14ac:dyDescent="0.3">
      <c r="C15" s="9" t="s">
        <v>29</v>
      </c>
      <c r="D15" s="1"/>
      <c r="O15" s="9" t="s">
        <v>21</v>
      </c>
    </row>
    <row r="16" spans="1:19" x14ac:dyDescent="0.3">
      <c r="C16" s="12">
        <f>E14/C14</f>
        <v>2.2042529620912257E-2</v>
      </c>
      <c r="D16" s="1"/>
      <c r="O16" s="12">
        <f>O14/1250000</f>
        <v>1.1914146528E-2</v>
      </c>
    </row>
    <row r="17" spans="1:15" ht="15" thickBot="1" x14ac:dyDescent="0.35">
      <c r="O17" s="21" t="s">
        <v>37</v>
      </c>
    </row>
    <row r="18" spans="1:15" ht="15.6" thickTop="1" thickBot="1" x14ac:dyDescent="0.35">
      <c r="A18" s="27" t="s">
        <v>68</v>
      </c>
      <c r="B18" s="27" t="s">
        <v>11</v>
      </c>
      <c r="C18" s="27" t="s">
        <v>69</v>
      </c>
      <c r="O18" s="22">
        <f>O14*0.05</f>
        <v>744.63415800000007</v>
      </c>
    </row>
    <row r="19" spans="1:15" ht="15" thickTop="1" x14ac:dyDescent="0.3">
      <c r="A19" t="s">
        <v>71</v>
      </c>
      <c r="B19" s="26">
        <v>502</v>
      </c>
      <c r="C19" s="24" t="s">
        <v>84</v>
      </c>
    </row>
    <row r="20" spans="1:15" x14ac:dyDescent="0.3">
      <c r="A20" t="s">
        <v>72</v>
      </c>
      <c r="B20" s="26">
        <v>640</v>
      </c>
      <c r="C20" t="s">
        <v>83</v>
      </c>
    </row>
    <row r="21" spans="1:15" x14ac:dyDescent="0.3">
      <c r="B21" s="26"/>
    </row>
  </sheetData>
  <sheetProtection algorithmName="SHA-512" hashValue="kQxRWXsJ/dLxCgJ3BYg6hE5HUNBFTkdr8Hp/JXm3PyeStsftlN9YQyYKio1VSMqYiUzLcdV2sUZZbQPWjDiDBg==" saltValue="ELc6gRdKP4+vltBNYzeGfA==" spinCount="100000" sheet="1" objects="1" scenarios="1"/>
  <mergeCells count="3">
    <mergeCell ref="A1:F1"/>
    <mergeCell ref="H1:K1"/>
    <mergeCell ref="M1:O1"/>
  </mergeCells>
  <hyperlinks>
    <hyperlink ref="R11" r:id="rId1" xr:uid="{10047C4B-BD3E-4BCF-AA97-7FDDB9644DBE}"/>
    <hyperlink ref="Q11" r:id="rId2" xr:uid="{CEBBD6F2-A47D-4EE2-B78D-0F409B98FA26}"/>
    <hyperlink ref="Q3" r:id="rId3" xr:uid="{31623338-2BA2-409B-8286-CFE46A0DA990}"/>
    <hyperlink ref="C19" r:id="rId4" xr:uid="{05FD92C0-C6D3-4C10-BDEF-3C83374BFE6E}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9891-2505-4433-9425-EF4FC445D54D}">
  <dimension ref="A1:S21"/>
  <sheetViews>
    <sheetView workbookViewId="0">
      <selection activeCell="C9" sqref="C9"/>
    </sheetView>
  </sheetViews>
  <sheetFormatPr defaultRowHeight="14.4" x14ac:dyDescent="0.3"/>
  <cols>
    <col min="2" max="2" width="8.6640625" bestFit="1" customWidth="1"/>
    <col min="3" max="3" width="14.109375" bestFit="1" customWidth="1"/>
    <col min="4" max="4" width="9.33203125" bestFit="1" customWidth="1"/>
    <col min="5" max="5" width="15.5546875" bestFit="1" customWidth="1"/>
    <col min="6" max="6" width="13.109375" bestFit="1" customWidth="1"/>
    <col min="8" max="8" width="13.77734375" bestFit="1" customWidth="1"/>
    <col min="9" max="10" width="14.109375" bestFit="1" customWidth="1"/>
    <col min="11" max="11" width="9.88671875" bestFit="1" customWidth="1"/>
    <col min="13" max="13" width="12.109375" bestFit="1" customWidth="1"/>
    <col min="14" max="14" width="12.5546875" bestFit="1" customWidth="1"/>
    <col min="15" max="15" width="18.21875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14">
        <f>C3/B3</f>
        <v>0.45329999999999998</v>
      </c>
      <c r="H3" s="4">
        <v>0.72</v>
      </c>
      <c r="I3" s="5">
        <f t="shared" ref="I3:I10" si="0">H3*B3</f>
        <v>230400</v>
      </c>
      <c r="J3" s="5">
        <f t="shared" ref="J3:J11" si="1">I3-C3</f>
        <v>85344</v>
      </c>
      <c r="K3" s="6">
        <f t="shared" ref="K3:K10" si="2">(H3-F3)/F3</f>
        <v>0.5883520847121112</v>
      </c>
      <c r="M3" s="4">
        <v>4390</v>
      </c>
      <c r="N3" s="5">
        <f>H3</f>
        <v>0.72</v>
      </c>
      <c r="O3" s="5">
        <f>N3*M3</f>
        <v>3160.7999999999997</v>
      </c>
      <c r="Q3" s="24" t="s">
        <v>52</v>
      </c>
      <c r="R3" t="s">
        <v>61</v>
      </c>
      <c r="S3">
        <f>M3*0.05</f>
        <v>219.5</v>
      </c>
    </row>
    <row r="4" spans="1:19" x14ac:dyDescent="0.3">
      <c r="A4" s="4" t="s">
        <v>1</v>
      </c>
      <c r="B4" s="4">
        <v>3250000</v>
      </c>
      <c r="C4" s="5">
        <v>211727</v>
      </c>
      <c r="D4" s="6">
        <v>0.01</v>
      </c>
      <c r="E4" s="5">
        <f t="shared" ref="E4:E11" si="3">D4*C4</f>
        <v>2117.27</v>
      </c>
      <c r="F4" s="14">
        <f t="shared" ref="F4:F10" si="4">C4/B4</f>
        <v>6.514676923076923E-2</v>
      </c>
      <c r="H4" s="4">
        <v>6.9000000000000006E-2</v>
      </c>
      <c r="I4" s="5">
        <f t="shared" si="0"/>
        <v>224250.00000000003</v>
      </c>
      <c r="J4" s="5">
        <f t="shared" si="1"/>
        <v>12523.000000000029</v>
      </c>
      <c r="K4" s="6">
        <f t="shared" si="2"/>
        <v>5.9146920326647145E-2</v>
      </c>
      <c r="M4" s="4">
        <v>19238</v>
      </c>
      <c r="N4" s="5">
        <f>H4</f>
        <v>6.9000000000000006E-2</v>
      </c>
      <c r="O4" s="5">
        <f t="shared" ref="O4:O11" si="5">N4*M4</f>
        <v>1327.422</v>
      </c>
      <c r="Q4" s="24" t="s">
        <v>51</v>
      </c>
      <c r="R4" t="s">
        <v>61</v>
      </c>
      <c r="S4">
        <f t="shared" ref="S4" si="6">M4*0.05</f>
        <v>961.90000000000009</v>
      </c>
    </row>
    <row r="5" spans="1:19" x14ac:dyDescent="0.3">
      <c r="A5" s="4" t="s">
        <v>2</v>
      </c>
      <c r="B5" s="4">
        <v>12448</v>
      </c>
      <c r="C5" s="5">
        <v>201661</v>
      </c>
      <c r="D5" s="6">
        <v>8.0000000000000002E-3</v>
      </c>
      <c r="E5" s="5">
        <f t="shared" si="3"/>
        <v>1613.288</v>
      </c>
      <c r="F5" s="7">
        <f t="shared" si="4"/>
        <v>16.200273136246786</v>
      </c>
      <c r="H5" s="4">
        <v>18.829999999999998</v>
      </c>
      <c r="I5" s="5">
        <f t="shared" si="0"/>
        <v>234395.83999999997</v>
      </c>
      <c r="J5" s="5">
        <f t="shared" si="1"/>
        <v>32734.839999999967</v>
      </c>
      <c r="K5" s="6">
        <f t="shared" si="2"/>
        <v>0.16232608188990433</v>
      </c>
      <c r="M5" s="4">
        <v>79.400000000000006</v>
      </c>
      <c r="N5" s="5">
        <f>H5</f>
        <v>18.829999999999998</v>
      </c>
      <c r="O5" s="5">
        <f t="shared" si="5"/>
        <v>1495.1019999999999</v>
      </c>
      <c r="Q5" t="s">
        <v>46</v>
      </c>
      <c r="R5" t="s">
        <v>61</v>
      </c>
      <c r="S5">
        <f t="shared" ref="S5:S7" si="7">M5*0.05</f>
        <v>3.9700000000000006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si="4"/>
        <v>1140.625</v>
      </c>
      <c r="H6" s="4">
        <v>1575</v>
      </c>
      <c r="I6" s="5">
        <f t="shared" si="0"/>
        <v>201600</v>
      </c>
      <c r="J6" s="5">
        <f t="shared" si="1"/>
        <v>55600</v>
      </c>
      <c r="K6" s="6">
        <f t="shared" si="2"/>
        <v>0.38082191780821917</v>
      </c>
      <c r="M6" s="4">
        <v>0.5</v>
      </c>
      <c r="N6" s="5">
        <f>H6</f>
        <v>1575</v>
      </c>
      <c r="O6" s="5">
        <f t="shared" si="5"/>
        <v>787.5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664160</v>
      </c>
      <c r="C7" s="5">
        <v>158800</v>
      </c>
      <c r="D7" s="6">
        <v>8.9999999999999993E-3</v>
      </c>
      <c r="E7" s="5">
        <f t="shared" si="3"/>
        <v>1429.1999999999998</v>
      </c>
      <c r="F7" s="14">
        <f t="shared" si="4"/>
        <v>0.23909901228619609</v>
      </c>
      <c r="H7" s="4">
        <v>0.27300000000000002</v>
      </c>
      <c r="I7" s="5">
        <f t="shared" si="0"/>
        <v>181315.68000000002</v>
      </c>
      <c r="J7" s="5">
        <f t="shared" si="1"/>
        <v>22515.680000000022</v>
      </c>
      <c r="K7" s="6">
        <f t="shared" si="2"/>
        <v>0.14178639798488674</v>
      </c>
      <c r="M7" s="4">
        <v>3863</v>
      </c>
      <c r="N7" s="5">
        <f>H7</f>
        <v>0.27300000000000002</v>
      </c>
      <c r="O7" s="5">
        <f t="shared" si="5"/>
        <v>1054.5990000000002</v>
      </c>
      <c r="Q7" t="s">
        <v>46</v>
      </c>
      <c r="R7" t="s">
        <v>61</v>
      </c>
      <c r="S7">
        <f t="shared" si="7"/>
        <v>193.15</v>
      </c>
    </row>
    <row r="8" spans="1:19" x14ac:dyDescent="0.3">
      <c r="A8" s="4" t="s">
        <v>5</v>
      </c>
      <c r="B8" s="4">
        <v>1</v>
      </c>
      <c r="C8" s="5">
        <v>337000</v>
      </c>
      <c r="D8" s="6">
        <v>0.06</v>
      </c>
      <c r="E8" s="5">
        <f t="shared" si="3"/>
        <v>20220</v>
      </c>
      <c r="F8" s="7">
        <f t="shared" si="4"/>
        <v>337000</v>
      </c>
      <c r="H8" s="4">
        <v>337000</v>
      </c>
      <c r="I8" s="5">
        <f t="shared" si="0"/>
        <v>337000</v>
      </c>
      <c r="J8" s="5">
        <f t="shared" si="1"/>
        <v>0</v>
      </c>
      <c r="K8" s="6">
        <f t="shared" si="2"/>
        <v>0</v>
      </c>
      <c r="M8" s="5">
        <v>0</v>
      </c>
      <c r="N8" s="5">
        <v>1</v>
      </c>
      <c r="O8" s="5">
        <f t="shared" si="5"/>
        <v>0</v>
      </c>
      <c r="P8" s="17"/>
      <c r="Q8" t="s">
        <v>50</v>
      </c>
      <c r="R8" t="s">
        <v>40</v>
      </c>
      <c r="S8" t="s">
        <v>40</v>
      </c>
    </row>
    <row r="9" spans="1:19" x14ac:dyDescent="0.3">
      <c r="A9" s="4" t="s">
        <v>25</v>
      </c>
      <c r="B9" s="4">
        <v>4204503</v>
      </c>
      <c r="C9" s="5">
        <v>491875</v>
      </c>
      <c r="D9" s="6">
        <v>0.01</v>
      </c>
      <c r="E9" s="5">
        <f t="shared" si="3"/>
        <v>4918.75</v>
      </c>
      <c r="F9" s="14">
        <f t="shared" si="4"/>
        <v>0.11698766774574783</v>
      </c>
      <c r="H9" s="4">
        <v>0.1134</v>
      </c>
      <c r="I9" s="5">
        <f t="shared" si="0"/>
        <v>476790.64020000002</v>
      </c>
      <c r="J9" s="5">
        <f t="shared" si="1"/>
        <v>-15084.359799999977</v>
      </c>
      <c r="K9" s="6">
        <f t="shared" si="2"/>
        <v>-3.0667059313850019E-2</v>
      </c>
      <c r="M9" s="18">
        <v>0</v>
      </c>
      <c r="N9" s="5">
        <f>H9</f>
        <v>0.1134</v>
      </c>
      <c r="O9" s="5">
        <f t="shared" si="5"/>
        <v>0</v>
      </c>
      <c r="Q9" t="s">
        <v>40</v>
      </c>
      <c r="R9" t="s">
        <v>40</v>
      </c>
      <c r="S9" t="s">
        <v>40</v>
      </c>
    </row>
    <row r="10" spans="1:19" x14ac:dyDescent="0.3">
      <c r="A10" s="4" t="s">
        <v>26</v>
      </c>
      <c r="B10" s="4">
        <v>1</v>
      </c>
      <c r="C10" s="5">
        <v>50000</v>
      </c>
      <c r="D10" s="6">
        <v>7.0000000000000007E-2</v>
      </c>
      <c r="E10" s="5">
        <f t="shared" si="3"/>
        <v>3500.0000000000005</v>
      </c>
      <c r="F10" s="7">
        <f t="shared" si="4"/>
        <v>50000</v>
      </c>
      <c r="H10" s="4">
        <v>50000</v>
      </c>
      <c r="I10" s="5">
        <f t="shared" si="0"/>
        <v>50000</v>
      </c>
      <c r="J10" s="5">
        <f t="shared" si="1"/>
        <v>0</v>
      </c>
      <c r="K10" s="6">
        <f t="shared" si="2"/>
        <v>0</v>
      </c>
      <c r="M10" s="5">
        <v>3237</v>
      </c>
      <c r="N10" s="5">
        <v>1</v>
      </c>
      <c r="O10" s="5">
        <f t="shared" si="5"/>
        <v>3237</v>
      </c>
      <c r="P10" s="17"/>
      <c r="Q10" s="24" t="s">
        <v>58</v>
      </c>
      <c r="R10" s="24" t="s">
        <v>66</v>
      </c>
      <c r="S10" s="17">
        <f>M10*0.05</f>
        <v>161.85000000000002</v>
      </c>
    </row>
    <row r="11" spans="1:19" x14ac:dyDescent="0.3">
      <c r="A11" s="4" t="s">
        <v>27</v>
      </c>
      <c r="B11" s="4">
        <v>1</v>
      </c>
      <c r="C11" s="5">
        <v>0</v>
      </c>
      <c r="D11" s="6"/>
      <c r="E11" s="5">
        <f t="shared" si="3"/>
        <v>0</v>
      </c>
      <c r="F11" s="7">
        <f>C11/B11</f>
        <v>0</v>
      </c>
      <c r="H11" s="4">
        <v>0</v>
      </c>
      <c r="I11" s="5">
        <f>H11*B11</f>
        <v>0</v>
      </c>
      <c r="J11" s="5">
        <f t="shared" si="1"/>
        <v>0</v>
      </c>
      <c r="K11" s="6">
        <v>0</v>
      </c>
      <c r="M11" s="5">
        <v>142879</v>
      </c>
      <c r="N11" s="5">
        <v>1</v>
      </c>
      <c r="O11" s="5">
        <f t="shared" si="5"/>
        <v>142879</v>
      </c>
      <c r="Q11" t="s">
        <v>63</v>
      </c>
      <c r="R11" s="24" t="s">
        <v>62</v>
      </c>
      <c r="S11" s="17">
        <f>O11*0.05</f>
        <v>7143.9500000000007</v>
      </c>
    </row>
    <row r="12" spans="1:19" x14ac:dyDescent="0.3">
      <c r="A12" s="4" t="s">
        <v>30</v>
      </c>
      <c r="B12" s="4">
        <v>110</v>
      </c>
      <c r="C12" s="5">
        <v>110000</v>
      </c>
      <c r="D12" s="6"/>
      <c r="E12" s="5">
        <f>D12*C12</f>
        <v>0</v>
      </c>
      <c r="F12" s="7">
        <f>C12/B12</f>
        <v>1000</v>
      </c>
      <c r="H12" s="4">
        <v>1000</v>
      </c>
      <c r="I12" s="5">
        <f>H12*B12</f>
        <v>110000</v>
      </c>
      <c r="J12" s="5">
        <f>I12-C12</f>
        <v>0</v>
      </c>
      <c r="K12" s="6">
        <f>(H12-F12)/F12</f>
        <v>0</v>
      </c>
      <c r="M12" s="5">
        <v>0</v>
      </c>
      <c r="N12" s="5">
        <v>1</v>
      </c>
      <c r="O12" s="5">
        <f>M12*N12</f>
        <v>0</v>
      </c>
      <c r="P12" s="19"/>
      <c r="Q12" t="s">
        <v>40</v>
      </c>
      <c r="R12" t="s">
        <v>40</v>
      </c>
      <c r="S12" t="s">
        <v>40</v>
      </c>
    </row>
    <row r="13" spans="1:19" x14ac:dyDescent="0.3">
      <c r="C13" s="15" t="s">
        <v>13</v>
      </c>
      <c r="D13" s="1"/>
      <c r="E13" s="8" t="s">
        <v>32</v>
      </c>
      <c r="I13" s="15" t="s">
        <v>14</v>
      </c>
      <c r="J13" s="15" t="s">
        <v>31</v>
      </c>
      <c r="O13" s="15" t="s">
        <v>33</v>
      </c>
    </row>
    <row r="14" spans="1:19" x14ac:dyDescent="0.3">
      <c r="C14" s="10">
        <f>SUM(C3:C12)</f>
        <v>1852119</v>
      </c>
      <c r="D14" s="1"/>
      <c r="E14" s="10">
        <f>SUM(E3:E12)</f>
        <v>36427.5144</v>
      </c>
      <c r="I14" s="10">
        <f>SUM(I3:I11)</f>
        <v>1935752.1602</v>
      </c>
      <c r="J14" s="10">
        <f>SUM(J3:J11)</f>
        <v>193633.16020000004</v>
      </c>
      <c r="O14" s="13">
        <f>SUM(O3:O11)</f>
        <v>153941.42300000001</v>
      </c>
    </row>
    <row r="15" spans="1:19" x14ac:dyDescent="0.3">
      <c r="C15" s="9" t="s">
        <v>29</v>
      </c>
      <c r="D15" s="1"/>
      <c r="O15" s="9" t="s">
        <v>21</v>
      </c>
    </row>
    <row r="16" spans="1:19" x14ac:dyDescent="0.3">
      <c r="C16" s="12">
        <f>E14/C14</f>
        <v>1.9668020467367379E-2</v>
      </c>
      <c r="D16" s="1"/>
      <c r="O16" s="12">
        <f>O14/C14</f>
        <v>8.3116378051302328E-2</v>
      </c>
    </row>
    <row r="17" spans="1:15" ht="15" thickBot="1" x14ac:dyDescent="0.35">
      <c r="O17" s="21" t="s">
        <v>37</v>
      </c>
    </row>
    <row r="18" spans="1:15" ht="15.6" thickTop="1" thickBot="1" x14ac:dyDescent="0.35">
      <c r="A18" s="27" t="s">
        <v>68</v>
      </c>
      <c r="B18" s="27" t="s">
        <v>11</v>
      </c>
      <c r="C18" s="27" t="s">
        <v>69</v>
      </c>
      <c r="O18" s="22">
        <f>O14*0.05</f>
        <v>7697.0711500000007</v>
      </c>
    </row>
    <row r="19" spans="1:15" ht="15" thickTop="1" x14ac:dyDescent="0.3">
      <c r="A19" t="s">
        <v>71</v>
      </c>
      <c r="B19" s="26">
        <v>655</v>
      </c>
      <c r="C19" s="24" t="s">
        <v>86</v>
      </c>
    </row>
    <row r="20" spans="1:15" x14ac:dyDescent="0.3">
      <c r="A20" t="s">
        <v>72</v>
      </c>
      <c r="B20" s="26">
        <v>640</v>
      </c>
      <c r="C20" s="24" t="s">
        <v>85</v>
      </c>
    </row>
    <row r="21" spans="1:15" x14ac:dyDescent="0.3">
      <c r="B21" s="26"/>
    </row>
  </sheetData>
  <sheetProtection algorithmName="SHA-512" hashValue="e+riA3YR2DhRPsgnpiAEJJxxUaax4YGzjZGxvl5ri2zpOu1LP42LVescGQJWNWAhMJxUl6C4TjVcjBF0Ti4sZQ==" saltValue="IOnN33uKcXEiZ1GTi/kDSA==" spinCount="100000" sheet="1" objects="1" scenarios="1"/>
  <mergeCells count="3">
    <mergeCell ref="A1:F1"/>
    <mergeCell ref="H1:K1"/>
    <mergeCell ref="M1:O1"/>
  </mergeCells>
  <hyperlinks>
    <hyperlink ref="Q4" r:id="rId1" xr:uid="{878DD110-38DB-4972-90D1-70AB56D935E8}"/>
    <hyperlink ref="Q10" r:id="rId2" xr:uid="{5E4506C1-67C2-4090-9ED9-9796491BA54E}"/>
    <hyperlink ref="R11" r:id="rId3" xr:uid="{7D516743-330E-492C-8775-26B66C558183}"/>
    <hyperlink ref="R10" r:id="rId4" xr:uid="{F64A0BE6-4057-499B-B74B-BC919DA23A3D}"/>
    <hyperlink ref="C20" r:id="rId5" xr:uid="{1FE68BE5-F25C-4C2B-B035-5951CAA227D2}"/>
    <hyperlink ref="C19" r:id="rId6" xr:uid="{5648C770-CD04-4EE4-889C-67C2A500240C}"/>
  </hyperlinks>
  <pageMargins left="0.7" right="0.7" top="0.75" bottom="0.75" header="0.3" footer="0.3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291D-C6AE-43CA-B9C8-8875830BE7AD}">
  <dimension ref="A1:S25"/>
  <sheetViews>
    <sheetView workbookViewId="0">
      <selection activeCell="E2" sqref="E2"/>
    </sheetView>
  </sheetViews>
  <sheetFormatPr defaultRowHeight="14.4" x14ac:dyDescent="0.3"/>
  <cols>
    <col min="2" max="2" width="11.109375" bestFit="1" customWidth="1"/>
    <col min="3" max="3" width="14.109375" bestFit="1" customWidth="1"/>
    <col min="4" max="4" width="9.33203125" bestFit="1" customWidth="1"/>
    <col min="5" max="5" width="15.5546875" bestFit="1" customWidth="1"/>
    <col min="6" max="6" width="13.109375" bestFit="1" customWidth="1"/>
    <col min="8" max="8" width="13.77734375" bestFit="1" customWidth="1"/>
    <col min="9" max="10" width="14.109375" bestFit="1" customWidth="1"/>
    <col min="11" max="11" width="9.88671875" bestFit="1" customWidth="1"/>
    <col min="13" max="13" width="12.109375" bestFit="1" customWidth="1"/>
    <col min="14" max="14" width="12.5546875" bestFit="1" customWidth="1"/>
    <col min="15" max="15" width="18.21875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14">
        <f>C3/B3</f>
        <v>0.45329999999999998</v>
      </c>
      <c r="H3" s="4">
        <v>0.55500000000000005</v>
      </c>
      <c r="I3" s="5">
        <f t="shared" ref="I3:I9" si="0">H3*B3</f>
        <v>177600.00000000003</v>
      </c>
      <c r="J3" s="5">
        <f t="shared" ref="J3:J9" si="1">I3-C3</f>
        <v>32544.000000000029</v>
      </c>
      <c r="K3" s="6">
        <f t="shared" ref="K3:K9" si="2">(H3-F3)/F3</f>
        <v>0.22435473196558586</v>
      </c>
      <c r="M3" s="4">
        <v>3422</v>
      </c>
      <c r="N3" s="5">
        <f>H3</f>
        <v>0.55500000000000005</v>
      </c>
      <c r="O3" s="5">
        <f>N3*M3</f>
        <v>1899.2100000000003</v>
      </c>
      <c r="Q3" s="24" t="s">
        <v>91</v>
      </c>
      <c r="R3" t="s">
        <v>61</v>
      </c>
      <c r="S3">
        <f>M3*0.05</f>
        <v>171.10000000000002</v>
      </c>
    </row>
    <row r="4" spans="1:19" x14ac:dyDescent="0.3">
      <c r="A4" s="4" t="s">
        <v>1</v>
      </c>
      <c r="B4" s="4">
        <v>3250000</v>
      </c>
      <c r="C4" s="5">
        <v>211727</v>
      </c>
      <c r="D4" s="6">
        <v>0.01</v>
      </c>
      <c r="E4" s="5">
        <f t="shared" ref="E4:E10" si="3">D4*C4</f>
        <v>2117.27</v>
      </c>
      <c r="F4" s="14">
        <f t="shared" ref="F4:F9" si="4">C4/B4</f>
        <v>6.514676923076923E-2</v>
      </c>
      <c r="H4" s="4">
        <v>4.7379999999999999E-2</v>
      </c>
      <c r="I4" s="5">
        <f t="shared" si="0"/>
        <v>153985</v>
      </c>
      <c r="J4" s="5">
        <f t="shared" si="1"/>
        <v>-57742</v>
      </c>
      <c r="K4" s="6">
        <f t="shared" si="2"/>
        <v>-0.2727191147090357</v>
      </c>
      <c r="M4" s="4">
        <v>50333</v>
      </c>
      <c r="N4" s="5">
        <f>H4</f>
        <v>4.7379999999999999E-2</v>
      </c>
      <c r="O4" s="5">
        <f t="shared" ref="O4:O10" si="5">N4*M4</f>
        <v>2384.77754</v>
      </c>
      <c r="Q4" s="24" t="s">
        <v>106</v>
      </c>
      <c r="R4" t="s">
        <v>61</v>
      </c>
      <c r="S4">
        <f t="shared" ref="S4:S8" si="6">M4*0.05</f>
        <v>2516.65</v>
      </c>
    </row>
    <row r="5" spans="1:19" x14ac:dyDescent="0.3">
      <c r="A5" s="4" t="s">
        <v>2</v>
      </c>
      <c r="B5" s="4">
        <v>15448</v>
      </c>
      <c r="C5" s="5">
        <v>246938</v>
      </c>
      <c r="D5" s="6">
        <v>8.0000000000000002E-3</v>
      </c>
      <c r="E5" s="5">
        <f t="shared" si="3"/>
        <v>1975.5040000000001</v>
      </c>
      <c r="F5" s="7">
        <f t="shared" si="4"/>
        <v>15.985111341273951</v>
      </c>
      <c r="H5" s="4">
        <v>13.07</v>
      </c>
      <c r="I5" s="5">
        <f t="shared" si="0"/>
        <v>201905.36000000002</v>
      </c>
      <c r="J5" s="5">
        <f t="shared" si="1"/>
        <v>-45032.639999999985</v>
      </c>
      <c r="K5" s="6">
        <f t="shared" si="2"/>
        <v>-0.18236415618495327</v>
      </c>
      <c r="M5" s="4">
        <v>95.38</v>
      </c>
      <c r="N5" s="5">
        <f>H5</f>
        <v>13.07</v>
      </c>
      <c r="O5" s="5">
        <f t="shared" si="5"/>
        <v>1246.6166000000001</v>
      </c>
      <c r="Q5" t="s">
        <v>89</v>
      </c>
      <c r="R5" t="s">
        <v>61</v>
      </c>
      <c r="S5">
        <f t="shared" si="6"/>
        <v>4.7690000000000001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si="4"/>
        <v>1140.625</v>
      </c>
      <c r="H6" s="4">
        <v>1290</v>
      </c>
      <c r="I6" s="5">
        <f t="shared" si="0"/>
        <v>165120</v>
      </c>
      <c r="J6" s="5">
        <f t="shared" si="1"/>
        <v>19120</v>
      </c>
      <c r="K6" s="6">
        <f t="shared" si="2"/>
        <v>0.13095890410958905</v>
      </c>
      <c r="M6" s="4">
        <v>0.5</v>
      </c>
      <c r="N6" s="5">
        <f>H6</f>
        <v>1290</v>
      </c>
      <c r="O6" s="5">
        <f t="shared" si="5"/>
        <v>645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800885</v>
      </c>
      <c r="C7" s="5">
        <v>185036</v>
      </c>
      <c r="D7" s="6">
        <v>8.9999999999999993E-3</v>
      </c>
      <c r="E7" s="5">
        <f t="shared" si="3"/>
        <v>1665.3239999999998</v>
      </c>
      <c r="F7" s="14">
        <f t="shared" si="4"/>
        <v>0.23103941264975622</v>
      </c>
      <c r="H7" s="4">
        <v>0.23719999999999999</v>
      </c>
      <c r="I7" s="5">
        <f t="shared" si="0"/>
        <v>189969.92199999999</v>
      </c>
      <c r="J7" s="5">
        <f t="shared" si="1"/>
        <v>4933.9219999999914</v>
      </c>
      <c r="K7" s="6">
        <f t="shared" si="2"/>
        <v>2.6664659849975056E-2</v>
      </c>
      <c r="M7" s="4">
        <v>3625.72</v>
      </c>
      <c r="N7" s="5">
        <f>H7</f>
        <v>0.23719999999999999</v>
      </c>
      <c r="O7" s="5">
        <f t="shared" si="5"/>
        <v>860.02078399999994</v>
      </c>
      <c r="Q7" s="25" t="s">
        <v>87</v>
      </c>
      <c r="R7" t="s">
        <v>61</v>
      </c>
      <c r="S7">
        <f t="shared" si="6"/>
        <v>181.286</v>
      </c>
    </row>
    <row r="8" spans="1:19" x14ac:dyDescent="0.3">
      <c r="A8" s="4" t="s">
        <v>5</v>
      </c>
      <c r="B8" s="4">
        <v>1</v>
      </c>
      <c r="C8" s="5">
        <v>337000</v>
      </c>
      <c r="D8" s="6">
        <v>0.06</v>
      </c>
      <c r="E8" s="5">
        <f t="shared" si="3"/>
        <v>20220</v>
      </c>
      <c r="F8" s="7">
        <f t="shared" si="4"/>
        <v>337000</v>
      </c>
      <c r="H8" s="4">
        <v>337000</v>
      </c>
      <c r="I8" s="5">
        <f t="shared" si="0"/>
        <v>337000</v>
      </c>
      <c r="J8" s="5">
        <f t="shared" si="1"/>
        <v>0</v>
      </c>
      <c r="K8" s="6">
        <f t="shared" si="2"/>
        <v>0</v>
      </c>
      <c r="M8" s="5">
        <v>0</v>
      </c>
      <c r="N8" s="5">
        <v>1</v>
      </c>
      <c r="O8" s="5">
        <f t="shared" si="5"/>
        <v>0</v>
      </c>
      <c r="P8" s="17"/>
      <c r="Q8" s="25" t="s">
        <v>40</v>
      </c>
      <c r="R8" s="25" t="s">
        <v>40</v>
      </c>
      <c r="S8">
        <f t="shared" si="6"/>
        <v>0</v>
      </c>
    </row>
    <row r="9" spans="1:19" x14ac:dyDescent="0.3">
      <c r="A9" s="4" t="s">
        <v>26</v>
      </c>
      <c r="B9" s="4">
        <v>1</v>
      </c>
      <c r="C9" s="5">
        <v>100000</v>
      </c>
      <c r="D9" s="6">
        <v>6.5000000000000002E-2</v>
      </c>
      <c r="E9" s="5">
        <f t="shared" si="3"/>
        <v>6500</v>
      </c>
      <c r="F9" s="7">
        <f t="shared" si="4"/>
        <v>100000</v>
      </c>
      <c r="H9" s="4">
        <v>100000</v>
      </c>
      <c r="I9" s="5">
        <f t="shared" si="0"/>
        <v>100000</v>
      </c>
      <c r="J9" s="5">
        <f t="shared" si="1"/>
        <v>0</v>
      </c>
      <c r="K9" s="6">
        <f t="shared" si="2"/>
        <v>0</v>
      </c>
      <c r="M9" s="5">
        <v>6507.5</v>
      </c>
      <c r="N9" s="5">
        <v>1</v>
      </c>
      <c r="O9" s="5">
        <f t="shared" si="5"/>
        <v>6507.5</v>
      </c>
      <c r="P9" s="17"/>
      <c r="Q9" s="24" t="s">
        <v>107</v>
      </c>
      <c r="R9" s="24" t="s">
        <v>90</v>
      </c>
      <c r="S9" s="17">
        <f t="shared" ref="S9:S10" si="7">O9*0.05</f>
        <v>325.375</v>
      </c>
    </row>
    <row r="10" spans="1:19" x14ac:dyDescent="0.3">
      <c r="A10" s="4" t="s">
        <v>27</v>
      </c>
      <c r="B10" s="4">
        <v>1</v>
      </c>
      <c r="C10" s="5">
        <v>0</v>
      </c>
      <c r="D10" s="6"/>
      <c r="E10" s="5">
        <f t="shared" si="3"/>
        <v>0</v>
      </c>
      <c r="F10" s="7">
        <f>C10/B10</f>
        <v>0</v>
      </c>
      <c r="H10" s="4">
        <v>0</v>
      </c>
      <c r="I10" s="5">
        <f>H10*B10</f>
        <v>0</v>
      </c>
      <c r="J10" s="5">
        <f>I10-C10</f>
        <v>0</v>
      </c>
      <c r="K10" s="6"/>
      <c r="M10" s="5">
        <v>36854</v>
      </c>
      <c r="N10" s="5">
        <v>1</v>
      </c>
      <c r="O10" s="5">
        <f t="shared" si="5"/>
        <v>36854</v>
      </c>
      <c r="Q10" s="24" t="s">
        <v>59</v>
      </c>
      <c r="R10" s="24" t="s">
        <v>60</v>
      </c>
      <c r="S10" s="17">
        <f t="shared" si="7"/>
        <v>1842.7</v>
      </c>
    </row>
    <row r="11" spans="1:19" x14ac:dyDescent="0.3">
      <c r="A11" s="4" t="s">
        <v>30</v>
      </c>
      <c r="B11" s="4">
        <v>110</v>
      </c>
      <c r="C11" s="5">
        <v>110000</v>
      </c>
      <c r="D11" s="6"/>
      <c r="E11" s="5">
        <f>D11*C11</f>
        <v>0</v>
      </c>
      <c r="F11" s="7">
        <f>C11/B11</f>
        <v>1000</v>
      </c>
      <c r="H11" s="4">
        <v>1000</v>
      </c>
      <c r="I11" s="5">
        <f>H11*B11</f>
        <v>110000</v>
      </c>
      <c r="J11" s="5">
        <f>I11-C11</f>
        <v>0</v>
      </c>
      <c r="K11" s="6">
        <f>(H11-F11)/F11</f>
        <v>0</v>
      </c>
      <c r="M11" s="5">
        <v>0</v>
      </c>
      <c r="N11" s="5">
        <v>1</v>
      </c>
      <c r="O11" s="5">
        <f>M11*N11</f>
        <v>0</v>
      </c>
      <c r="P11" s="19"/>
      <c r="Q11" s="25" t="s">
        <v>40</v>
      </c>
      <c r="R11" s="25" t="s">
        <v>40</v>
      </c>
      <c r="S11" s="17">
        <f>O11*0.05</f>
        <v>0</v>
      </c>
    </row>
    <row r="12" spans="1:19" x14ac:dyDescent="0.3">
      <c r="C12" s="15" t="s">
        <v>13</v>
      </c>
      <c r="D12" s="1"/>
      <c r="E12" s="8" t="s">
        <v>32</v>
      </c>
      <c r="I12" s="15" t="s">
        <v>14</v>
      </c>
      <c r="J12" s="15" t="s">
        <v>31</v>
      </c>
      <c r="O12" s="15" t="s">
        <v>33</v>
      </c>
    </row>
    <row r="13" spans="1:19" x14ac:dyDescent="0.3">
      <c r="C13" s="10">
        <f>SUM(C3:C11)</f>
        <v>1481757</v>
      </c>
      <c r="D13" s="1"/>
      <c r="E13" s="10">
        <f>SUM(E3:E11)</f>
        <v>35107.104399999997</v>
      </c>
      <c r="I13" s="10">
        <f>SUM(I3:I11)</f>
        <v>1435580.2820000001</v>
      </c>
      <c r="J13" s="10">
        <f>SUM(J3:J11)</f>
        <v>-46176.717999999964</v>
      </c>
      <c r="O13" s="13">
        <f>SUM(O3:O11)</f>
        <v>50397.124924000003</v>
      </c>
    </row>
    <row r="14" spans="1:19" x14ac:dyDescent="0.3">
      <c r="C14" s="9" t="s">
        <v>29</v>
      </c>
      <c r="D14" s="1"/>
      <c r="O14" s="9" t="s">
        <v>21</v>
      </c>
    </row>
    <row r="15" spans="1:19" x14ac:dyDescent="0.3">
      <c r="C15" s="12">
        <f>E13/C13</f>
        <v>2.369288918493383E-2</v>
      </c>
      <c r="D15" s="1"/>
      <c r="O15" s="12">
        <f>O13/C13</f>
        <v>3.4011733991470935E-2</v>
      </c>
    </row>
    <row r="16" spans="1:19" ht="15" thickBot="1" x14ac:dyDescent="0.35">
      <c r="O16" s="21" t="s">
        <v>37</v>
      </c>
    </row>
    <row r="17" spans="1:15" ht="15.6" thickTop="1" thickBot="1" x14ac:dyDescent="0.35">
      <c r="A17" s="27" t="s">
        <v>68</v>
      </c>
      <c r="B17" s="27" t="s">
        <v>11</v>
      </c>
      <c r="C17" s="27" t="s">
        <v>69</v>
      </c>
      <c r="O17" s="22">
        <f>O13*0.05</f>
        <v>2519.8562462000004</v>
      </c>
    </row>
    <row r="18" spans="1:15" ht="15" thickTop="1" x14ac:dyDescent="0.3">
      <c r="A18" t="s">
        <v>71</v>
      </c>
      <c r="B18" s="26">
        <v>528</v>
      </c>
      <c r="C18" s="24" t="s">
        <v>105</v>
      </c>
    </row>
    <row r="19" spans="1:15" x14ac:dyDescent="0.3">
      <c r="A19" t="s">
        <v>72</v>
      </c>
      <c r="B19" s="26">
        <v>640</v>
      </c>
      <c r="C19" s="24" t="s">
        <v>88</v>
      </c>
    </row>
    <row r="20" spans="1:15" x14ac:dyDescent="0.3">
      <c r="A20" t="s">
        <v>141</v>
      </c>
      <c r="B20" s="26">
        <v>25000</v>
      </c>
      <c r="C20" t="s">
        <v>140</v>
      </c>
    </row>
    <row r="21" spans="1:15" ht="15" thickBot="1" x14ac:dyDescent="0.35"/>
    <row r="22" spans="1:15" ht="15.6" thickTop="1" thickBot="1" x14ac:dyDescent="0.35">
      <c r="A22" s="27" t="s">
        <v>103</v>
      </c>
      <c r="B22" s="27" t="s">
        <v>92</v>
      </c>
    </row>
    <row r="23" spans="1:15" ht="15" thickTop="1" x14ac:dyDescent="0.3">
      <c r="A23" s="28" t="s">
        <v>93</v>
      </c>
      <c r="B23" s="28" t="s">
        <v>94</v>
      </c>
      <c r="C23" s="28" t="s">
        <v>104</v>
      </c>
    </row>
    <row r="24" spans="1:15" x14ac:dyDescent="0.3">
      <c r="A24" s="24" t="s">
        <v>100</v>
      </c>
      <c r="B24" s="24" t="s">
        <v>97</v>
      </c>
      <c r="C24" t="s">
        <v>95</v>
      </c>
      <c r="D24" t="s">
        <v>98</v>
      </c>
    </row>
    <row r="25" spans="1:15" x14ac:dyDescent="0.3">
      <c r="A25" s="24" t="s">
        <v>101</v>
      </c>
      <c r="B25" s="24" t="s">
        <v>102</v>
      </c>
      <c r="C25" t="s">
        <v>96</v>
      </c>
      <c r="D25" t="s">
        <v>99</v>
      </c>
    </row>
  </sheetData>
  <sheetProtection algorithmName="SHA-512" hashValue="5MKTOlC7dg5U22ZlQRbAhol47tPM2+0Z5u+p06stxqA5Xc9nhSQkj59kRq2cw1e9z+M9s7WuxCUa0eWy25vLmA==" saltValue="afTwp9dHoCsJCH4g5XUFeQ==" spinCount="100000" sheet="1" objects="1" scenarios="1"/>
  <mergeCells count="3">
    <mergeCell ref="A1:F1"/>
    <mergeCell ref="H1:K1"/>
    <mergeCell ref="M1:O1"/>
  </mergeCells>
  <hyperlinks>
    <hyperlink ref="Q10" r:id="rId1" xr:uid="{1645D1F0-9C52-4671-B59B-1960398F92D4}"/>
    <hyperlink ref="R10" r:id="rId2" xr:uid="{ACFF7583-A047-4E97-858A-0EED581F94FC}"/>
    <hyperlink ref="C19" r:id="rId3" xr:uid="{5A106FF5-F93A-4763-B382-12C2E54C3C2E}"/>
    <hyperlink ref="R9" r:id="rId4" xr:uid="{99456372-62F9-4B62-92E2-C38DF96E6B3C}"/>
    <hyperlink ref="Q3" r:id="rId5" xr:uid="{B6CE46CE-FE37-4B73-A237-9824C4D5A823}"/>
    <hyperlink ref="B24" r:id="rId6" xr:uid="{8F6FC6AF-A506-40B5-B47E-3E15CF55F680}"/>
    <hyperlink ref="A24" r:id="rId7" xr:uid="{45943FEA-ABA7-4393-AF9F-A312B149E474}"/>
    <hyperlink ref="A25" r:id="rId8" xr:uid="{FD3E8C92-AEF9-4DD6-AB6D-828A75EA2C7B}"/>
    <hyperlink ref="B25" r:id="rId9" xr:uid="{9E122543-ED71-4127-B23B-4D2F5AAE9282}"/>
    <hyperlink ref="C18" r:id="rId10" xr:uid="{E017BA46-2EDD-4961-943F-EB38F86B5B45}"/>
    <hyperlink ref="Q4" r:id="rId11" xr:uid="{61E76866-F2E3-4ED9-B862-5E19DF48C4EC}"/>
    <hyperlink ref="Q9" r:id="rId12" location="tokentxns" xr:uid="{BFEDA548-94BD-4E1E-884B-E79AB03DA06A}"/>
  </hyperlinks>
  <pageMargins left="0.7" right="0.7" top="0.75" bottom="0.75" header="0.3" footer="0.3"/>
  <pageSetup orientation="portrait" r:id="rId13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45D7-17C4-4D26-A2FE-4153E297D52C}">
  <dimension ref="A1:S27"/>
  <sheetViews>
    <sheetView topLeftCell="F1" workbookViewId="0">
      <selection activeCell="M8" sqref="M8"/>
    </sheetView>
  </sheetViews>
  <sheetFormatPr defaultRowHeight="14.4" x14ac:dyDescent="0.3"/>
  <cols>
    <col min="2" max="2" width="10.109375" bestFit="1" customWidth="1"/>
    <col min="3" max="3" width="14.109375" bestFit="1" customWidth="1"/>
    <col min="4" max="4" width="9.33203125" bestFit="1" customWidth="1"/>
    <col min="5" max="5" width="15.5546875" bestFit="1" customWidth="1"/>
    <col min="6" max="6" width="13.109375" bestFit="1" customWidth="1"/>
    <col min="8" max="8" width="13.77734375" bestFit="1" customWidth="1"/>
    <col min="9" max="10" width="14.109375" bestFit="1" customWidth="1"/>
    <col min="11" max="11" width="9.88671875" bestFit="1" customWidth="1"/>
    <col min="13" max="13" width="12.109375" bestFit="1" customWidth="1"/>
    <col min="14" max="14" width="12.5546875" bestFit="1" customWidth="1"/>
    <col min="15" max="15" width="18.21875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14">
        <f>C3/B3</f>
        <v>0.45329999999999998</v>
      </c>
      <c r="H3" s="4">
        <v>0.49909999999999999</v>
      </c>
      <c r="I3" s="5">
        <f t="shared" ref="I3:I9" si="0">H3*B3</f>
        <v>159712</v>
      </c>
      <c r="J3" s="5">
        <f t="shared" ref="J3:J9" si="1">I3-C3</f>
        <v>14656</v>
      </c>
      <c r="K3" s="6">
        <f t="shared" ref="K3:K10" si="2">(H3-F3)/F3</f>
        <v>0.10103684094418709</v>
      </c>
      <c r="M3" s="4">
        <f>2092.5+1432.5</f>
        <v>3525</v>
      </c>
      <c r="N3" s="5">
        <f>H3</f>
        <v>0.49909999999999999</v>
      </c>
      <c r="O3" s="5">
        <f>N3*M3</f>
        <v>1759.3274999999999</v>
      </c>
      <c r="Q3" s="24" t="s">
        <v>120</v>
      </c>
      <c r="R3" t="s">
        <v>61</v>
      </c>
      <c r="S3">
        <f>M3*0.05</f>
        <v>176.25</v>
      </c>
    </row>
    <row r="4" spans="1:19" x14ac:dyDescent="0.3">
      <c r="A4" s="4" t="s">
        <v>1</v>
      </c>
      <c r="B4" s="4">
        <v>3556859</v>
      </c>
      <c r="C4" s="5">
        <v>225158</v>
      </c>
      <c r="D4" s="6">
        <v>0.01</v>
      </c>
      <c r="E4" s="5">
        <f t="shared" ref="E4:E10" si="3">D4*C4</f>
        <v>2251.58</v>
      </c>
      <c r="F4" s="14">
        <v>6.4329999999999998E-2</v>
      </c>
      <c r="H4" s="4">
        <v>3.875E-2</v>
      </c>
      <c r="I4" s="5">
        <f>H4*B4</f>
        <v>137828.28625</v>
      </c>
      <c r="J4" s="5">
        <f>I4-C4</f>
        <v>-87329.713749999995</v>
      </c>
      <c r="K4" s="6">
        <f t="shared" si="2"/>
        <v>-0.39763718327374475</v>
      </c>
      <c r="M4" s="4">
        <v>54050</v>
      </c>
      <c r="N4" s="5">
        <f>H4</f>
        <v>3.875E-2</v>
      </c>
      <c r="O4" s="5">
        <f t="shared" ref="O4:O10" si="4">N4*M4</f>
        <v>2094.4375</v>
      </c>
      <c r="Q4" s="24" t="s">
        <v>113</v>
      </c>
      <c r="R4" t="s">
        <v>61</v>
      </c>
      <c r="S4">
        <f t="shared" ref="S4:S9" si="5">M4*0.05</f>
        <v>2702.5</v>
      </c>
    </row>
    <row r="5" spans="1:19" x14ac:dyDescent="0.3">
      <c r="A5" s="4" t="s">
        <v>2</v>
      </c>
      <c r="B5" s="4">
        <v>16448</v>
      </c>
      <c r="C5" s="5">
        <v>260990</v>
      </c>
      <c r="D5" s="6">
        <v>8.0000000000000002E-3</v>
      </c>
      <c r="E5" s="5">
        <f t="shared" si="3"/>
        <v>2087.92</v>
      </c>
      <c r="F5" s="7">
        <f>C5/B5</f>
        <v>15.867582684824903</v>
      </c>
      <c r="H5" s="4">
        <v>10.92</v>
      </c>
      <c r="I5" s="5">
        <f t="shared" si="0"/>
        <v>179612.16</v>
      </c>
      <c r="J5" s="5">
        <f t="shared" si="1"/>
        <v>-81377.84</v>
      </c>
      <c r="K5" s="6">
        <f t="shared" si="2"/>
        <v>-0.31180443695160737</v>
      </c>
      <c r="M5" s="4">
        <v>0</v>
      </c>
      <c r="N5" s="5">
        <f>H5</f>
        <v>10.92</v>
      </c>
      <c r="O5" s="5">
        <f t="shared" si="4"/>
        <v>0</v>
      </c>
      <c r="Q5" t="s">
        <v>112</v>
      </c>
      <c r="R5" t="s">
        <v>40</v>
      </c>
      <c r="S5">
        <f t="shared" si="5"/>
        <v>0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ref="F6:F9" si="6">C6/B6</f>
        <v>1140.625</v>
      </c>
      <c r="H6" s="4">
        <v>1202</v>
      </c>
      <c r="I6" s="5">
        <f t="shared" si="0"/>
        <v>153856</v>
      </c>
      <c r="J6" s="5">
        <f t="shared" si="1"/>
        <v>7856</v>
      </c>
      <c r="K6" s="6">
        <f t="shared" si="2"/>
        <v>5.3808219178082192E-2</v>
      </c>
      <c r="M6" s="4">
        <v>0.15</v>
      </c>
      <c r="N6" s="5">
        <f>H6</f>
        <v>1202</v>
      </c>
      <c r="O6" s="5">
        <f t="shared" si="4"/>
        <v>180.29999999999998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800885</v>
      </c>
      <c r="C7" s="5">
        <v>185036</v>
      </c>
      <c r="D7" s="6">
        <v>8.9999999999999993E-3</v>
      </c>
      <c r="E7" s="5">
        <f t="shared" si="3"/>
        <v>1665.3239999999998</v>
      </c>
      <c r="F7" s="14">
        <f t="shared" si="6"/>
        <v>0.23103941264975622</v>
      </c>
      <c r="H7" s="4">
        <v>0.20180000000000001</v>
      </c>
      <c r="I7" s="5">
        <f t="shared" si="0"/>
        <v>161618.59299999999</v>
      </c>
      <c r="J7" s="5">
        <f t="shared" si="1"/>
        <v>-23417.407000000007</v>
      </c>
      <c r="K7" s="6">
        <f t="shared" si="2"/>
        <v>-0.12655595127434663</v>
      </c>
      <c r="M7" s="4">
        <v>3632</v>
      </c>
      <c r="N7" s="5">
        <f>H7</f>
        <v>0.20180000000000001</v>
      </c>
      <c r="O7" s="5">
        <f>N7*M7</f>
        <v>732.93759999999997</v>
      </c>
      <c r="Q7" s="25" t="s">
        <v>87</v>
      </c>
      <c r="R7" t="s">
        <v>61</v>
      </c>
      <c r="S7">
        <f t="shared" si="5"/>
        <v>181.60000000000002</v>
      </c>
    </row>
    <row r="8" spans="1:19" x14ac:dyDescent="0.3">
      <c r="A8" s="4" t="s">
        <v>5</v>
      </c>
      <c r="B8" s="4">
        <v>1</v>
      </c>
      <c r="C8" s="5">
        <v>337000</v>
      </c>
      <c r="D8" s="6">
        <v>1.6500000000000001E-2</v>
      </c>
      <c r="E8" s="5">
        <f t="shared" si="3"/>
        <v>5560.5</v>
      </c>
      <c r="F8" s="7">
        <f t="shared" si="6"/>
        <v>337000</v>
      </c>
      <c r="H8" s="4">
        <f>358180*1.05</f>
        <v>376089</v>
      </c>
      <c r="I8" s="5">
        <f t="shared" si="0"/>
        <v>376089</v>
      </c>
      <c r="J8" s="5">
        <f t="shared" si="1"/>
        <v>39089</v>
      </c>
      <c r="K8" s="6">
        <f t="shared" si="2"/>
        <v>0.11599109792284866</v>
      </c>
      <c r="M8" s="5">
        <v>1</v>
      </c>
      <c r="N8" s="5">
        <v>1</v>
      </c>
      <c r="O8" s="5">
        <f>358180*0.05</f>
        <v>17909</v>
      </c>
      <c r="P8" s="17"/>
      <c r="Q8" s="25" t="s">
        <v>125</v>
      </c>
      <c r="R8" t="s">
        <v>40</v>
      </c>
      <c r="S8" t="s">
        <v>40</v>
      </c>
    </row>
    <row r="9" spans="1:19" x14ac:dyDescent="0.3">
      <c r="A9" s="4" t="s">
        <v>26</v>
      </c>
      <c r="B9" s="4">
        <v>1</v>
      </c>
      <c r="C9" s="5">
        <v>100000</v>
      </c>
      <c r="D9" s="6">
        <v>6.5000000000000002E-2</v>
      </c>
      <c r="E9" s="5">
        <f t="shared" si="3"/>
        <v>6500</v>
      </c>
      <c r="F9" s="7">
        <f t="shared" si="6"/>
        <v>100000</v>
      </c>
      <c r="H9" s="4">
        <v>100000</v>
      </c>
      <c r="I9" s="5">
        <f t="shared" si="0"/>
        <v>100000</v>
      </c>
      <c r="J9" s="5">
        <f t="shared" si="1"/>
        <v>0</v>
      </c>
      <c r="K9" s="6">
        <f t="shared" si="2"/>
        <v>0</v>
      </c>
      <c r="M9" s="5">
        <v>7492.98</v>
      </c>
      <c r="N9" s="5">
        <v>1</v>
      </c>
      <c r="O9" s="5">
        <f t="shared" si="4"/>
        <v>7492.98</v>
      </c>
      <c r="P9" s="17"/>
      <c r="Q9" s="24" t="s">
        <v>127</v>
      </c>
      <c r="R9" s="24" t="s">
        <v>121</v>
      </c>
      <c r="S9">
        <f t="shared" si="5"/>
        <v>374.649</v>
      </c>
    </row>
    <row r="10" spans="1:19" x14ac:dyDescent="0.3">
      <c r="A10" s="4" t="s">
        <v>27</v>
      </c>
      <c r="B10" s="4">
        <v>1</v>
      </c>
      <c r="C10" s="5">
        <v>0</v>
      </c>
      <c r="D10" s="6"/>
      <c r="E10" s="5">
        <f t="shared" si="3"/>
        <v>0</v>
      </c>
      <c r="F10" s="7">
        <f>C10/B10</f>
        <v>0</v>
      </c>
      <c r="H10" s="4">
        <v>0</v>
      </c>
      <c r="I10" s="5">
        <f>H10*B10</f>
        <v>0</v>
      </c>
      <c r="J10" s="5">
        <f>I10-C10</f>
        <v>0</v>
      </c>
      <c r="K10" s="6" t="e">
        <f t="shared" si="2"/>
        <v>#DIV/0!</v>
      </c>
      <c r="M10" s="5">
        <v>0</v>
      </c>
      <c r="N10" s="5">
        <v>1</v>
      </c>
      <c r="O10" s="5">
        <f t="shared" si="4"/>
        <v>0</v>
      </c>
      <c r="Q10" t="s">
        <v>40</v>
      </c>
      <c r="R10" t="s">
        <v>40</v>
      </c>
      <c r="S10" t="s">
        <v>40</v>
      </c>
    </row>
    <row r="11" spans="1:19" x14ac:dyDescent="0.3">
      <c r="A11" s="4" t="s">
        <v>30</v>
      </c>
      <c r="B11" s="4">
        <v>110</v>
      </c>
      <c r="C11" s="5">
        <v>110000</v>
      </c>
      <c r="D11" s="6"/>
      <c r="E11" s="5">
        <f>D11*C11</f>
        <v>0</v>
      </c>
      <c r="F11" s="7">
        <f>C11/B11</f>
        <v>1000</v>
      </c>
      <c r="H11" s="4">
        <v>1000</v>
      </c>
      <c r="I11" s="5">
        <f>H11*B11</f>
        <v>110000</v>
      </c>
      <c r="J11" s="5">
        <f>I11-C11</f>
        <v>0</v>
      </c>
      <c r="K11" s="6">
        <f>(H11-F11)/F11</f>
        <v>0</v>
      </c>
      <c r="M11" s="5">
        <v>0</v>
      </c>
      <c r="N11" s="5">
        <v>1</v>
      </c>
      <c r="O11" s="5">
        <f>M11*N11</f>
        <v>0</v>
      </c>
      <c r="P11" s="19"/>
      <c r="Q11" t="s">
        <v>40</v>
      </c>
      <c r="R11" t="s">
        <v>40</v>
      </c>
      <c r="S11" t="s">
        <v>40</v>
      </c>
    </row>
    <row r="12" spans="1:19" x14ac:dyDescent="0.3">
      <c r="A12" s="4" t="s">
        <v>122</v>
      </c>
      <c r="B12" s="4">
        <v>1</v>
      </c>
      <c r="C12" s="5">
        <v>100000</v>
      </c>
      <c r="D12" s="6"/>
      <c r="E12" s="5">
        <f>D12*C12</f>
        <v>0</v>
      </c>
      <c r="F12" s="7">
        <f>C12/B12</f>
        <v>100000</v>
      </c>
      <c r="H12" s="4">
        <f>B12</f>
        <v>1</v>
      </c>
      <c r="I12" s="5">
        <f>C12</f>
        <v>100000</v>
      </c>
      <c r="J12" s="5">
        <f>I12-C12</f>
        <v>0</v>
      </c>
      <c r="K12" s="6"/>
      <c r="M12" s="5" t="s">
        <v>40</v>
      </c>
      <c r="N12" s="5" t="s">
        <v>40</v>
      </c>
      <c r="O12" s="5" t="s">
        <v>40</v>
      </c>
      <c r="Q12" s="30" t="s">
        <v>123</v>
      </c>
      <c r="R12" s="30" t="s">
        <v>40</v>
      </c>
      <c r="S12" s="29" t="s">
        <v>40</v>
      </c>
    </row>
    <row r="13" spans="1:19" x14ac:dyDescent="0.3">
      <c r="C13" s="15" t="s">
        <v>13</v>
      </c>
      <c r="D13" s="1"/>
      <c r="E13" s="8" t="s">
        <v>32</v>
      </c>
      <c r="I13" s="15" t="s">
        <v>14</v>
      </c>
      <c r="J13" s="15" t="s">
        <v>31</v>
      </c>
      <c r="O13" s="15" t="s">
        <v>33</v>
      </c>
    </row>
    <row r="14" spans="1:19" x14ac:dyDescent="0.3">
      <c r="C14" s="10">
        <f>SUM(C3:C12)</f>
        <v>1609240</v>
      </c>
      <c r="D14" s="1"/>
      <c r="E14" s="10">
        <f>SUM(E3:E11)</f>
        <v>20694.330399999999</v>
      </c>
      <c r="I14" s="10">
        <f>SUM(I3:I12)</f>
        <v>1478716.0392499999</v>
      </c>
      <c r="J14" s="10">
        <f>SUM(J3:J11)</f>
        <v>-130523.96075</v>
      </c>
      <c r="O14" s="13">
        <f>SUM(O3:O11)</f>
        <v>30168.982599999999</v>
      </c>
    </row>
    <row r="15" spans="1:19" x14ac:dyDescent="0.3">
      <c r="C15" s="9" t="s">
        <v>29</v>
      </c>
      <c r="D15" s="1"/>
      <c r="O15" s="9" t="s">
        <v>21</v>
      </c>
    </row>
    <row r="16" spans="1:19" x14ac:dyDescent="0.3">
      <c r="C16" s="12">
        <f>E14/C14</f>
        <v>1.2859691779970669E-2</v>
      </c>
      <c r="D16" s="1"/>
      <c r="O16" s="12">
        <f>O14/C14</f>
        <v>1.8747348189207327E-2</v>
      </c>
    </row>
    <row r="17" spans="1:15" ht="15" thickBot="1" x14ac:dyDescent="0.35">
      <c r="O17" s="21" t="s">
        <v>37</v>
      </c>
    </row>
    <row r="18" spans="1:15" ht="15.6" thickTop="1" thickBot="1" x14ac:dyDescent="0.35">
      <c r="A18" s="27" t="s">
        <v>68</v>
      </c>
      <c r="B18" s="27" t="s">
        <v>11</v>
      </c>
      <c r="C18" s="27" t="s">
        <v>69</v>
      </c>
      <c r="O18" s="22">
        <f>SUM(O9,O7,O6,O4,O3)*0.05</f>
        <v>612.99912999999992</v>
      </c>
    </row>
    <row r="19" spans="1:15" ht="15" thickTop="1" x14ac:dyDescent="0.3">
      <c r="A19" t="s">
        <v>71</v>
      </c>
      <c r="B19" s="26">
        <v>499</v>
      </c>
      <c r="C19" s="24" t="s">
        <v>124</v>
      </c>
    </row>
    <row r="20" spans="1:15" x14ac:dyDescent="0.3">
      <c r="A20" t="s">
        <v>72</v>
      </c>
      <c r="B20" s="26">
        <v>640</v>
      </c>
      <c r="C20" s="24" t="s">
        <v>114</v>
      </c>
    </row>
    <row r="21" spans="1:15" x14ac:dyDescent="0.3">
      <c r="A21" t="s">
        <v>111</v>
      </c>
      <c r="B21">
        <v>551</v>
      </c>
      <c r="C21" s="24" t="s">
        <v>117</v>
      </c>
    </row>
    <row r="22" spans="1:15" x14ac:dyDescent="0.3">
      <c r="A22" t="s">
        <v>110</v>
      </c>
      <c r="B22">
        <v>464</v>
      </c>
      <c r="C22" s="24" t="s">
        <v>118</v>
      </c>
      <c r="F22" s="20"/>
    </row>
    <row r="23" spans="1:15" x14ac:dyDescent="0.3">
      <c r="A23" t="s">
        <v>109</v>
      </c>
      <c r="B23">
        <v>100</v>
      </c>
      <c r="C23" s="24" t="s">
        <v>126</v>
      </c>
    </row>
    <row r="24" spans="1:15" x14ac:dyDescent="0.3">
      <c r="A24" t="s">
        <v>108</v>
      </c>
      <c r="B24">
        <v>68</v>
      </c>
      <c r="C24" s="24" t="s">
        <v>115</v>
      </c>
    </row>
    <row r="25" spans="1:15" x14ac:dyDescent="0.3">
      <c r="A25" t="s">
        <v>116</v>
      </c>
      <c r="B25">
        <v>31.22</v>
      </c>
      <c r="C25" s="24" t="s">
        <v>119</v>
      </c>
    </row>
    <row r="26" spans="1:15" x14ac:dyDescent="0.3">
      <c r="B26" t="s">
        <v>11</v>
      </c>
    </row>
    <row r="27" spans="1:15" x14ac:dyDescent="0.3">
      <c r="B27" s="17">
        <f>SUM(B19:B25)</f>
        <v>2353.2199999999998</v>
      </c>
    </row>
  </sheetData>
  <sheetProtection algorithmName="SHA-512" hashValue="wEemsubT+jpbuE6/dn17i6P0mIoDwd9P3TIPlF2Tqy125q84dhqBN8vGH+A0sW6kpwDYycixrHeiJr2kG89qjg==" saltValue="2Fb3r7apzW5X1zhCxEf1rA==" spinCount="100000" sheet="1" objects="1" scenarios="1"/>
  <mergeCells count="3">
    <mergeCell ref="A1:F1"/>
    <mergeCell ref="H1:K1"/>
    <mergeCell ref="M1:O1"/>
  </mergeCells>
  <hyperlinks>
    <hyperlink ref="Q4" r:id="rId1" xr:uid="{93F58C7B-5B3B-4448-B994-F87943BC3D14}"/>
    <hyperlink ref="C20" r:id="rId2" xr:uid="{042525C7-8C20-4D3F-9962-07D822DE81D0}"/>
    <hyperlink ref="C24" r:id="rId3" xr:uid="{8520F741-FBA3-4109-89B1-80F971BA3ED9}"/>
    <hyperlink ref="C21" r:id="rId4" xr:uid="{59E41EA9-168D-4A51-A9A0-26BDCB7D6E48}"/>
    <hyperlink ref="C22" r:id="rId5" xr:uid="{2C838DB6-4F1C-4DCA-8AAB-827384E78E5F}"/>
    <hyperlink ref="C25" r:id="rId6" xr:uid="{1E317A21-26B6-44A5-9136-F6D7F5B13B70}"/>
    <hyperlink ref="Q3" r:id="rId7" xr:uid="{51C2C63F-791F-43EF-B2E9-E5117843EA58}"/>
    <hyperlink ref="R9" r:id="rId8" xr:uid="{AFA18E80-E5F7-48A4-88F5-AA50FB34970D}"/>
    <hyperlink ref="C19" r:id="rId9" xr:uid="{D8A5E639-556B-42FF-8706-3018C1946D5D}"/>
    <hyperlink ref="C23" r:id="rId10" xr:uid="{5B43EC49-4578-4C4B-9B17-30C329E8C1F4}"/>
    <hyperlink ref="Q9" r:id="rId11" xr:uid="{54957731-F3DB-4560-805A-B22B04433BCB}"/>
  </hyperlinks>
  <pageMargins left="0.7" right="0.7" top="0.75" bottom="0.75" header="0.3" footer="0.3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5A07-0C49-4F6F-AB30-FDD9B9BFBD2A}">
  <dimension ref="A1:S26"/>
  <sheetViews>
    <sheetView workbookViewId="0">
      <selection activeCell="I8" sqref="I8"/>
    </sheetView>
  </sheetViews>
  <sheetFormatPr defaultRowHeight="14.4" x14ac:dyDescent="0.3"/>
  <cols>
    <col min="2" max="2" width="10.109375" bestFit="1" customWidth="1"/>
    <col min="3" max="3" width="14.109375" bestFit="1" customWidth="1"/>
    <col min="4" max="4" width="9.33203125" bestFit="1" customWidth="1"/>
    <col min="5" max="5" width="15.5546875" bestFit="1" customWidth="1"/>
    <col min="6" max="6" width="13.109375" bestFit="1" customWidth="1"/>
    <col min="8" max="8" width="13.77734375" bestFit="1" customWidth="1"/>
    <col min="9" max="10" width="14.109375" bestFit="1" customWidth="1"/>
    <col min="11" max="11" width="9.88671875" bestFit="1" customWidth="1"/>
    <col min="13" max="13" width="12.109375" bestFit="1" customWidth="1"/>
    <col min="14" max="14" width="12.5546875" bestFit="1" customWidth="1"/>
    <col min="15" max="15" width="18.21875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14">
        <f>C3/B3</f>
        <v>0.45329999999999998</v>
      </c>
      <c r="H3" s="4">
        <v>0.89400000000000002</v>
      </c>
      <c r="I3" s="5">
        <f t="shared" ref="I3:I9" si="0">H3*B3</f>
        <v>286080</v>
      </c>
      <c r="J3" s="5">
        <f t="shared" ref="J3:J9" si="1">I3-C3</f>
        <v>141024</v>
      </c>
      <c r="K3" s="6">
        <f t="shared" ref="K3:K10" si="2">(H3-F3)/F3</f>
        <v>0.97220383851753822</v>
      </c>
      <c r="M3" s="4">
        <v>3142</v>
      </c>
      <c r="N3" s="5">
        <f>H3</f>
        <v>0.89400000000000002</v>
      </c>
      <c r="O3" s="5">
        <f>N3*M3</f>
        <v>2808.9479999999999</v>
      </c>
      <c r="Q3" s="24" t="s">
        <v>133</v>
      </c>
      <c r="R3" t="s">
        <v>61</v>
      </c>
      <c r="S3">
        <f>M3*0.05</f>
        <v>157.10000000000002</v>
      </c>
    </row>
    <row r="4" spans="1:19" x14ac:dyDescent="0.3">
      <c r="A4" s="4" t="s">
        <v>1</v>
      </c>
      <c r="B4" s="4">
        <v>3556859</v>
      </c>
      <c r="C4" s="5">
        <v>225158</v>
      </c>
      <c r="D4" s="6">
        <v>0.01</v>
      </c>
      <c r="E4" s="5">
        <f t="shared" ref="E4:E10" si="3">D4*C4</f>
        <v>2251.58</v>
      </c>
      <c r="F4" s="14">
        <v>6.4329999999999998E-2</v>
      </c>
      <c r="H4" s="4">
        <v>5.3999999999999999E-2</v>
      </c>
      <c r="I4" s="5">
        <f>H4*B4</f>
        <v>192070.386</v>
      </c>
      <c r="J4" s="5">
        <f>I4-C4</f>
        <v>-33087.614000000001</v>
      </c>
      <c r="K4" s="6">
        <f t="shared" si="2"/>
        <v>-0.16057826830405719</v>
      </c>
      <c r="M4" s="4">
        <v>43741</v>
      </c>
      <c r="N4" s="5">
        <f>H4</f>
        <v>5.3999999999999999E-2</v>
      </c>
      <c r="O4" s="5">
        <f t="shared" ref="O4:O10" si="4">N4*M4</f>
        <v>2362.0140000000001</v>
      </c>
      <c r="Q4" s="24" t="s">
        <v>138</v>
      </c>
      <c r="R4" t="s">
        <v>61</v>
      </c>
      <c r="S4">
        <f t="shared" ref="S4:S9" si="5">M4*0.05</f>
        <v>2187.0500000000002</v>
      </c>
    </row>
    <row r="5" spans="1:19" x14ac:dyDescent="0.3">
      <c r="A5" s="4" t="s">
        <v>2</v>
      </c>
      <c r="B5" s="4">
        <v>16716</v>
      </c>
      <c r="C5" s="5">
        <v>260990</v>
      </c>
      <c r="D5" s="6">
        <v>8.0000000000000002E-3</v>
      </c>
      <c r="E5" s="5">
        <f t="shared" si="3"/>
        <v>2087.92</v>
      </c>
      <c r="F5" s="7">
        <f>C5/B5</f>
        <v>15.613184972481456</v>
      </c>
      <c r="H5" s="4">
        <v>19.239999999999998</v>
      </c>
      <c r="I5" s="5">
        <f t="shared" si="0"/>
        <v>321615.83999999997</v>
      </c>
      <c r="J5" s="5">
        <f t="shared" si="1"/>
        <v>60625.839999999967</v>
      </c>
      <c r="K5" s="6">
        <f t="shared" si="2"/>
        <v>0.23229181194681772</v>
      </c>
      <c r="M5" s="4">
        <v>113.4</v>
      </c>
      <c r="N5" s="5">
        <f>H5</f>
        <v>19.239999999999998</v>
      </c>
      <c r="O5" s="5">
        <f t="shared" si="4"/>
        <v>2181.8159999999998</v>
      </c>
      <c r="Q5" s="24" t="s">
        <v>135</v>
      </c>
      <c r="R5" t="s">
        <v>61</v>
      </c>
      <c r="S5">
        <f t="shared" si="5"/>
        <v>5.6700000000000008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ref="F6:F9" si="6">C6/B6</f>
        <v>1140.625</v>
      </c>
      <c r="H6" s="4">
        <v>1584</v>
      </c>
      <c r="I6" s="5">
        <f t="shared" si="0"/>
        <v>202752</v>
      </c>
      <c r="J6" s="5">
        <f t="shared" si="1"/>
        <v>56752</v>
      </c>
      <c r="K6" s="6">
        <f t="shared" si="2"/>
        <v>0.38871232876712331</v>
      </c>
      <c r="M6" s="4">
        <v>0.3</v>
      </c>
      <c r="N6" s="5">
        <f>H6</f>
        <v>1584</v>
      </c>
      <c r="O6" s="5">
        <f t="shared" si="4"/>
        <v>475.2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809740</v>
      </c>
      <c r="C7" s="5">
        <v>185036</v>
      </c>
      <c r="D7" s="6">
        <v>8.9999999999999993E-3</v>
      </c>
      <c r="E7" s="5">
        <f t="shared" si="3"/>
        <v>1665.3239999999998</v>
      </c>
      <c r="F7" s="14">
        <f t="shared" si="6"/>
        <v>0.22851285597846221</v>
      </c>
      <c r="H7" s="4">
        <v>0.51700000000000002</v>
      </c>
      <c r="I7" s="5">
        <f>H7*B7</f>
        <v>418635.58</v>
      </c>
      <c r="J7" s="5">
        <f t="shared" si="1"/>
        <v>233599.58000000002</v>
      </c>
      <c r="K7" s="6">
        <f t="shared" si="2"/>
        <v>1.2624547655591345</v>
      </c>
      <c r="M7" s="4">
        <v>3547</v>
      </c>
      <c r="N7" s="5">
        <f>H7</f>
        <v>0.51700000000000002</v>
      </c>
      <c r="O7" s="5">
        <f>N7*M7</f>
        <v>1833.799</v>
      </c>
      <c r="Q7" s="24" t="s">
        <v>134</v>
      </c>
      <c r="R7" t="s">
        <v>61</v>
      </c>
      <c r="S7">
        <f t="shared" si="5"/>
        <v>177.35000000000002</v>
      </c>
    </row>
    <row r="8" spans="1:19" x14ac:dyDescent="0.3">
      <c r="A8" s="4" t="s">
        <v>5</v>
      </c>
      <c r="B8" s="4">
        <v>1</v>
      </c>
      <c r="C8" s="5">
        <v>337000</v>
      </c>
      <c r="D8" s="6">
        <v>1.6500000000000001E-2</v>
      </c>
      <c r="E8" s="5">
        <f t="shared" si="3"/>
        <v>5560.5</v>
      </c>
      <c r="F8" s="7">
        <f t="shared" si="6"/>
        <v>337000</v>
      </c>
      <c r="H8" s="4">
        <f>358180*1.05</f>
        <v>376089</v>
      </c>
      <c r="I8" s="5">
        <f t="shared" si="0"/>
        <v>376089</v>
      </c>
      <c r="J8" s="5">
        <v>0</v>
      </c>
      <c r="K8" s="6">
        <f t="shared" si="2"/>
        <v>0.11599109792284866</v>
      </c>
      <c r="M8" s="5">
        <v>0</v>
      </c>
      <c r="N8" s="5">
        <v>1</v>
      </c>
      <c r="O8" s="5">
        <f>N8*M8</f>
        <v>0</v>
      </c>
      <c r="P8" s="17"/>
      <c r="Q8" s="25" t="s">
        <v>40</v>
      </c>
      <c r="R8" t="s">
        <v>40</v>
      </c>
      <c r="S8" t="s">
        <v>40</v>
      </c>
    </row>
    <row r="9" spans="1:19" x14ac:dyDescent="0.3">
      <c r="A9" s="4" t="s">
        <v>26</v>
      </c>
      <c r="B9" s="4">
        <v>1</v>
      </c>
      <c r="C9" s="5">
        <v>100000</v>
      </c>
      <c r="D9" s="6">
        <v>6.5000000000000002E-2</v>
      </c>
      <c r="E9" s="5">
        <f t="shared" si="3"/>
        <v>6500</v>
      </c>
      <c r="F9" s="7">
        <f t="shared" si="6"/>
        <v>100000</v>
      </c>
      <c r="H9" s="4">
        <v>100000</v>
      </c>
      <c r="I9" s="5">
        <f t="shared" si="0"/>
        <v>100000</v>
      </c>
      <c r="J9" s="5">
        <f t="shared" si="1"/>
        <v>0</v>
      </c>
      <c r="K9" s="6">
        <f t="shared" si="2"/>
        <v>0</v>
      </c>
      <c r="M9" s="5">
        <v>6444.22</v>
      </c>
      <c r="N9" s="5">
        <v>1</v>
      </c>
      <c r="O9" s="5">
        <f>N9*M9</f>
        <v>6444.22</v>
      </c>
      <c r="P9" s="17"/>
      <c r="Q9" t="s">
        <v>139</v>
      </c>
      <c r="R9" s="24" t="s">
        <v>137</v>
      </c>
      <c r="S9">
        <f t="shared" si="5"/>
        <v>322.21100000000001</v>
      </c>
    </row>
    <row r="10" spans="1:19" x14ac:dyDescent="0.3">
      <c r="A10" s="4" t="s">
        <v>27</v>
      </c>
      <c r="B10" s="4">
        <v>1</v>
      </c>
      <c r="C10" s="5">
        <v>0</v>
      </c>
      <c r="D10" s="6"/>
      <c r="E10" s="5">
        <f t="shared" si="3"/>
        <v>0</v>
      </c>
      <c r="F10" s="7">
        <f>C10/B10</f>
        <v>0</v>
      </c>
      <c r="H10" s="4">
        <v>0</v>
      </c>
      <c r="I10" s="5">
        <f>H10*B10</f>
        <v>0</v>
      </c>
      <c r="J10" s="5">
        <f>I10-C10</f>
        <v>0</v>
      </c>
      <c r="K10" s="6" t="e">
        <f t="shared" si="2"/>
        <v>#DIV/0!</v>
      </c>
      <c r="M10" s="5">
        <v>0</v>
      </c>
      <c r="N10" s="5">
        <v>1</v>
      </c>
      <c r="O10" s="5">
        <f t="shared" si="4"/>
        <v>0</v>
      </c>
      <c r="Q10" t="s">
        <v>40</v>
      </c>
      <c r="R10" t="s">
        <v>40</v>
      </c>
      <c r="S10" t="s">
        <v>40</v>
      </c>
    </row>
    <row r="11" spans="1:19" x14ac:dyDescent="0.3">
      <c r="A11" s="4" t="s">
        <v>30</v>
      </c>
      <c r="B11" s="4">
        <v>110</v>
      </c>
      <c r="C11" s="5">
        <v>110000</v>
      </c>
      <c r="D11" s="6"/>
      <c r="E11" s="5">
        <f>D11*C11</f>
        <v>0</v>
      </c>
      <c r="F11" s="7">
        <f>C11/B11</f>
        <v>1000</v>
      </c>
      <c r="H11" s="4">
        <v>1000</v>
      </c>
      <c r="I11" s="5">
        <f>H11*B11</f>
        <v>110000</v>
      </c>
      <c r="J11" s="5">
        <f>I11-C11</f>
        <v>0</v>
      </c>
      <c r="K11" s="6">
        <f>(H11-F11)/F11</f>
        <v>0</v>
      </c>
      <c r="M11" s="5">
        <v>0</v>
      </c>
      <c r="N11" s="5">
        <v>1</v>
      </c>
      <c r="O11" s="5">
        <f>M11*N11</f>
        <v>0</v>
      </c>
      <c r="P11" s="19"/>
      <c r="Q11" t="s">
        <v>40</v>
      </c>
      <c r="R11" t="s">
        <v>40</v>
      </c>
      <c r="S11" t="s">
        <v>40</v>
      </c>
    </row>
    <row r="12" spans="1:19" x14ac:dyDescent="0.3">
      <c r="A12" s="4" t="s">
        <v>122</v>
      </c>
      <c r="B12" s="4">
        <v>1</v>
      </c>
      <c r="C12" s="5">
        <v>100000</v>
      </c>
      <c r="D12" s="6"/>
      <c r="E12" s="5">
        <f>D12*C12</f>
        <v>0</v>
      </c>
      <c r="F12" s="7">
        <f>C12/B12</f>
        <v>100000</v>
      </c>
      <c r="H12" s="4">
        <f>B12</f>
        <v>1</v>
      </c>
      <c r="I12" s="5">
        <f>C12</f>
        <v>100000</v>
      </c>
      <c r="J12" s="5">
        <f>I12-C12</f>
        <v>0</v>
      </c>
      <c r="K12" s="6"/>
      <c r="M12" s="5" t="s">
        <v>40</v>
      </c>
      <c r="N12" s="5" t="s">
        <v>40</v>
      </c>
      <c r="O12" s="5" t="s">
        <v>40</v>
      </c>
      <c r="Q12" s="30" t="s">
        <v>40</v>
      </c>
      <c r="R12" s="30" t="s">
        <v>40</v>
      </c>
      <c r="S12" s="29" t="s">
        <v>40</v>
      </c>
    </row>
    <row r="13" spans="1:19" x14ac:dyDescent="0.3">
      <c r="C13" s="15" t="s">
        <v>13</v>
      </c>
      <c r="D13" s="1"/>
      <c r="E13" s="8" t="s">
        <v>32</v>
      </c>
      <c r="I13" s="15" t="s">
        <v>14</v>
      </c>
      <c r="J13" s="15" t="s">
        <v>31</v>
      </c>
      <c r="O13" s="15" t="s">
        <v>33</v>
      </c>
    </row>
    <row r="14" spans="1:19" x14ac:dyDescent="0.3">
      <c r="C14" s="10">
        <f>SUM(C3:C12)</f>
        <v>1609240</v>
      </c>
      <c r="D14" s="1"/>
      <c r="E14" s="10">
        <f>SUM(E3:E11)</f>
        <v>20694.330399999999</v>
      </c>
      <c r="I14" s="10">
        <f>SUM(I3:I12)</f>
        <v>2107242.8059999999</v>
      </c>
      <c r="J14" s="10">
        <f>SUM(J3:J11)</f>
        <v>458913.80599999998</v>
      </c>
      <c r="O14" s="13">
        <f>SUM(O3:O11)</f>
        <v>16105.996999999999</v>
      </c>
    </row>
    <row r="15" spans="1:19" x14ac:dyDescent="0.3">
      <c r="C15" s="9" t="s">
        <v>29</v>
      </c>
      <c r="D15" s="1"/>
      <c r="O15" s="9" t="s">
        <v>21</v>
      </c>
    </row>
    <row r="16" spans="1:19" x14ac:dyDescent="0.3">
      <c r="C16" s="12">
        <f>E14/C14</f>
        <v>1.2859691779970669E-2</v>
      </c>
      <c r="D16" s="1"/>
      <c r="O16" s="12">
        <f>O14/C14</f>
        <v>1.0008449330118565E-2</v>
      </c>
    </row>
    <row r="17" spans="1:15" ht="15" thickBot="1" x14ac:dyDescent="0.35">
      <c r="O17" s="21" t="s">
        <v>37</v>
      </c>
    </row>
    <row r="18" spans="1:15" ht="15.6" thickTop="1" thickBot="1" x14ac:dyDescent="0.35">
      <c r="A18" s="27" t="s">
        <v>68</v>
      </c>
      <c r="B18" s="27" t="s">
        <v>11</v>
      </c>
      <c r="C18" s="27" t="s">
        <v>69</v>
      </c>
      <c r="O18" s="22">
        <f>SUM(O9,O7,O6,O4,O3)*0.05</f>
        <v>696.20905000000005</v>
      </c>
    </row>
    <row r="19" spans="1:15" ht="15" thickTop="1" x14ac:dyDescent="0.3">
      <c r="A19" t="s">
        <v>71</v>
      </c>
      <c r="B19" s="26">
        <v>452</v>
      </c>
      <c r="C19" s="24" t="s">
        <v>136</v>
      </c>
    </row>
    <row r="20" spans="1:15" x14ac:dyDescent="0.3">
      <c r="A20" t="s">
        <v>72</v>
      </c>
      <c r="B20" s="26">
        <v>640</v>
      </c>
      <c r="C20" s="24" t="s">
        <v>129</v>
      </c>
    </row>
    <row r="21" spans="1:15" x14ac:dyDescent="0.3">
      <c r="A21" t="s">
        <v>130</v>
      </c>
      <c r="B21" s="26">
        <v>1180</v>
      </c>
      <c r="C21" s="24" t="s">
        <v>128</v>
      </c>
      <c r="M21" s="20"/>
    </row>
    <row r="22" spans="1:15" x14ac:dyDescent="0.3">
      <c r="A22" t="s">
        <v>132</v>
      </c>
      <c r="B22" s="26">
        <v>5000</v>
      </c>
      <c r="C22" s="24" t="s">
        <v>131</v>
      </c>
      <c r="F22" s="20"/>
    </row>
    <row r="23" spans="1:15" x14ac:dyDescent="0.3">
      <c r="C23" s="24"/>
    </row>
    <row r="24" spans="1:15" x14ac:dyDescent="0.3">
      <c r="C24" s="24"/>
    </row>
    <row r="25" spans="1:15" x14ac:dyDescent="0.3">
      <c r="B25" t="s">
        <v>11</v>
      </c>
    </row>
    <row r="26" spans="1:15" x14ac:dyDescent="0.3">
      <c r="B26" s="17">
        <f>SUM(B19:B24)</f>
        <v>7272</v>
      </c>
    </row>
  </sheetData>
  <sheetProtection algorithmName="SHA-512" hashValue="gt9NRVZdnn+aNYSoPwb6xSbiXjLZ5WelDx1Ls083gCa2HmnNktxlr1qxlWW9WUPrIW6LxFwk/c0UkKV/rYDDwA==" saltValue="cceo5cZDxfg8FG2zx3zWpg==" spinCount="100000" sheet="1" objects="1" scenarios="1"/>
  <mergeCells count="3">
    <mergeCell ref="A1:F1"/>
    <mergeCell ref="H1:K1"/>
    <mergeCell ref="M1:O1"/>
  </mergeCells>
  <hyperlinks>
    <hyperlink ref="Q3" r:id="rId1" xr:uid="{588F4B2C-7DD9-4A34-B005-846E5E73590A}"/>
    <hyperlink ref="Q7" r:id="rId2" xr:uid="{D17E9965-EA07-457F-8C61-99A7A7FE30B9}"/>
    <hyperlink ref="Q5" r:id="rId3" xr:uid="{275F15E3-C004-466E-9770-C41B3DDFE4F8}"/>
    <hyperlink ref="C19" r:id="rId4" xr:uid="{3C58EE0C-5F77-48F3-9E8E-E91C10EA2D74}"/>
    <hyperlink ref="R9" r:id="rId5" xr:uid="{FFFFEBBE-9BF1-43C2-AA63-DC0895FCD19B}"/>
  </hyperlinks>
  <pageMargins left="0.7" right="0.7" top="0.75" bottom="0.75" header="0.3" footer="0.3"/>
  <pageSetup orientation="portrait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694D9-68DA-42CA-A85D-97A899DE18A9}">
  <dimension ref="A1:S26"/>
  <sheetViews>
    <sheetView topLeftCell="A4" workbookViewId="0">
      <selection activeCell="B11" sqref="B11:C11"/>
    </sheetView>
  </sheetViews>
  <sheetFormatPr defaultRowHeight="14.4" x14ac:dyDescent="0.3"/>
  <cols>
    <col min="2" max="2" width="11.109375" bestFit="1" customWidth="1"/>
    <col min="3" max="3" width="14.109375" bestFit="1" customWidth="1"/>
    <col min="4" max="4" width="9.33203125" bestFit="1" customWidth="1"/>
    <col min="5" max="5" width="15.5546875" bestFit="1" customWidth="1"/>
    <col min="6" max="6" width="13.109375" bestFit="1" customWidth="1"/>
    <col min="8" max="8" width="13.77734375" bestFit="1" customWidth="1"/>
    <col min="9" max="10" width="14.109375" bestFit="1" customWidth="1"/>
    <col min="11" max="11" width="9.88671875" bestFit="1" customWidth="1"/>
    <col min="13" max="13" width="12.109375" bestFit="1" customWidth="1"/>
    <col min="14" max="14" width="12.5546875" bestFit="1" customWidth="1"/>
    <col min="15" max="15" width="18.21875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14">
        <f>C3/B3</f>
        <v>0.45329999999999998</v>
      </c>
      <c r="H3" s="4">
        <v>0.81499999999999995</v>
      </c>
      <c r="I3" s="5">
        <f t="shared" ref="I3:I9" si="0">H3*B3</f>
        <v>260799.99999999997</v>
      </c>
      <c r="J3" s="5">
        <f t="shared" ref="J3:J9" si="1">I3-C3</f>
        <v>115743.99999999997</v>
      </c>
      <c r="K3" s="6">
        <f t="shared" ref="K3:K10" si="2">(H3-F3)/F3</f>
        <v>0.79792631811162584</v>
      </c>
      <c r="M3" s="4">
        <v>1825</v>
      </c>
      <c r="N3" s="5">
        <f>H3</f>
        <v>0.81499999999999995</v>
      </c>
      <c r="O3" s="5">
        <f>N3*M3</f>
        <v>1487.375</v>
      </c>
      <c r="Q3" s="24" t="s">
        <v>154</v>
      </c>
      <c r="R3" t="s">
        <v>61</v>
      </c>
      <c r="S3">
        <f>M3*0.05</f>
        <v>91.25</v>
      </c>
    </row>
    <row r="4" spans="1:19" x14ac:dyDescent="0.3">
      <c r="A4" s="4" t="s">
        <v>1</v>
      </c>
      <c r="B4" s="4">
        <v>3556859</v>
      </c>
      <c r="C4" s="5">
        <v>225158</v>
      </c>
      <c r="D4" s="6">
        <v>0.01</v>
      </c>
      <c r="E4" s="5">
        <f t="shared" ref="E4:E10" si="3">D4*C4</f>
        <v>2251.58</v>
      </c>
      <c r="F4" s="14">
        <v>6.4329999999999998E-2</v>
      </c>
      <c r="H4" s="4">
        <v>5.1400000000000001E-2</v>
      </c>
      <c r="I4" s="5">
        <f>H4*B4</f>
        <v>182822.5526</v>
      </c>
      <c r="J4" s="5">
        <f>I4-C4</f>
        <v>-42335.447400000005</v>
      </c>
      <c r="K4" s="6">
        <f t="shared" si="2"/>
        <v>-0.20099487020052847</v>
      </c>
      <c r="M4" s="4">
        <v>43511</v>
      </c>
      <c r="N4" s="5">
        <f>H4</f>
        <v>5.1400000000000001E-2</v>
      </c>
      <c r="O4" s="5">
        <f t="shared" ref="O4:O10" si="4">N4*M4</f>
        <v>2236.4654</v>
      </c>
      <c r="Q4" s="24" t="s">
        <v>153</v>
      </c>
      <c r="R4" t="s">
        <v>61</v>
      </c>
      <c r="S4">
        <f t="shared" ref="S4:S9" si="5">M4*0.05</f>
        <v>2175.5500000000002</v>
      </c>
    </row>
    <row r="5" spans="1:19" x14ac:dyDescent="0.3">
      <c r="A5" s="4" t="s">
        <v>2</v>
      </c>
      <c r="B5" s="4">
        <v>16762</v>
      </c>
      <c r="C5" s="5">
        <v>260990</v>
      </c>
      <c r="D5" s="6">
        <v>8.0000000000000002E-3</v>
      </c>
      <c r="E5" s="5">
        <f t="shared" si="3"/>
        <v>2087.92</v>
      </c>
      <c r="F5" s="7">
        <f>C5/B5</f>
        <v>15.570337668535974</v>
      </c>
      <c r="H5" s="4">
        <v>17.79</v>
      </c>
      <c r="I5" s="5">
        <f t="shared" si="0"/>
        <v>298195.98</v>
      </c>
      <c r="J5" s="5">
        <f t="shared" si="1"/>
        <v>37205.979999999981</v>
      </c>
      <c r="K5" s="6">
        <f t="shared" si="2"/>
        <v>0.14255710946779571</v>
      </c>
      <c r="M5" s="4">
        <v>95</v>
      </c>
      <c r="N5" s="5">
        <f>H5</f>
        <v>17.79</v>
      </c>
      <c r="O5" s="5">
        <f t="shared" si="4"/>
        <v>1690.05</v>
      </c>
      <c r="Q5" s="24" t="s">
        <v>145</v>
      </c>
      <c r="R5" t="s">
        <v>61</v>
      </c>
      <c r="S5">
        <f t="shared" si="5"/>
        <v>4.75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ref="F6:F9" si="6">C6/B6</f>
        <v>1140.625</v>
      </c>
      <c r="H6" s="4">
        <v>1659</v>
      </c>
      <c r="I6" s="5">
        <f t="shared" si="0"/>
        <v>212352</v>
      </c>
      <c r="J6" s="5">
        <f t="shared" si="1"/>
        <v>66352</v>
      </c>
      <c r="K6" s="6">
        <f t="shared" si="2"/>
        <v>0.45446575342465756</v>
      </c>
      <c r="M6" s="4">
        <v>0.5</v>
      </c>
      <c r="N6" s="5">
        <f>H6</f>
        <v>1659</v>
      </c>
      <c r="O6" s="5">
        <f t="shared" si="4"/>
        <v>829.5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811302</v>
      </c>
      <c r="C7" s="5">
        <v>185036</v>
      </c>
      <c r="D7" s="6">
        <v>8.9999999999999993E-3</v>
      </c>
      <c r="E7" s="5">
        <f t="shared" si="3"/>
        <v>1665.3239999999998</v>
      </c>
      <c r="F7" s="14">
        <f t="shared" si="6"/>
        <v>0.22807290010378378</v>
      </c>
      <c r="H7" s="4">
        <v>0.46</v>
      </c>
      <c r="I7" s="5">
        <f t="shared" si="0"/>
        <v>373198.92000000004</v>
      </c>
      <c r="J7" s="5">
        <f t="shared" si="1"/>
        <v>188162.92000000004</v>
      </c>
      <c r="K7" s="6">
        <f t="shared" si="2"/>
        <v>1.0168989818197542</v>
      </c>
      <c r="M7" s="4">
        <v>3120</v>
      </c>
      <c r="N7" s="5">
        <f>H7</f>
        <v>0.46</v>
      </c>
      <c r="O7" s="5">
        <f>N7*M7</f>
        <v>1435.2</v>
      </c>
      <c r="Q7" s="24" t="s">
        <v>143</v>
      </c>
      <c r="R7" t="s">
        <v>61</v>
      </c>
      <c r="S7">
        <f t="shared" si="5"/>
        <v>156</v>
      </c>
    </row>
    <row r="8" spans="1:19" x14ac:dyDescent="0.3">
      <c r="A8" s="4" t="s">
        <v>5</v>
      </c>
      <c r="B8" s="4">
        <v>1</v>
      </c>
      <c r="C8" s="5">
        <v>337000</v>
      </c>
      <c r="D8" s="6">
        <v>1.6500000000000001E-2</v>
      </c>
      <c r="E8" s="5">
        <f t="shared" si="3"/>
        <v>5560.5</v>
      </c>
      <c r="F8" s="7">
        <f t="shared" si="6"/>
        <v>337000</v>
      </c>
      <c r="H8" s="4">
        <f>358180*1.05</f>
        <v>376089</v>
      </c>
      <c r="I8" s="5">
        <f t="shared" si="0"/>
        <v>376089</v>
      </c>
      <c r="J8" s="5">
        <v>0</v>
      </c>
      <c r="K8" s="6">
        <f t="shared" si="2"/>
        <v>0.11599109792284866</v>
      </c>
      <c r="M8" s="5">
        <v>0</v>
      </c>
      <c r="N8" s="5">
        <v>1</v>
      </c>
      <c r="O8" s="5">
        <f>N8*M8</f>
        <v>0</v>
      </c>
      <c r="P8" s="17"/>
      <c r="Q8" s="25" t="s">
        <v>40</v>
      </c>
      <c r="R8" t="s">
        <v>40</v>
      </c>
      <c r="S8" t="s">
        <v>40</v>
      </c>
    </row>
    <row r="9" spans="1:19" x14ac:dyDescent="0.3">
      <c r="A9" s="4" t="s">
        <v>26</v>
      </c>
      <c r="B9" s="4">
        <v>1</v>
      </c>
      <c r="C9" s="5">
        <v>100000</v>
      </c>
      <c r="D9" s="6">
        <v>6.5000000000000002E-2</v>
      </c>
      <c r="E9" s="5">
        <f t="shared" si="3"/>
        <v>6500</v>
      </c>
      <c r="F9" s="7">
        <f t="shared" si="6"/>
        <v>100000</v>
      </c>
      <c r="H9" s="4">
        <v>100000</v>
      </c>
      <c r="I9" s="5">
        <f t="shared" si="0"/>
        <v>100000</v>
      </c>
      <c r="J9" s="5">
        <f t="shared" si="1"/>
        <v>0</v>
      </c>
      <c r="K9" s="6">
        <f t="shared" si="2"/>
        <v>0</v>
      </c>
      <c r="M9" s="5">
        <v>5900</v>
      </c>
      <c r="N9" s="5">
        <v>1</v>
      </c>
      <c r="O9" s="5">
        <f>N9*M9</f>
        <v>5900</v>
      </c>
      <c r="P9" s="17"/>
      <c r="Q9" t="s">
        <v>139</v>
      </c>
      <c r="R9" s="24" t="s">
        <v>152</v>
      </c>
      <c r="S9">
        <f t="shared" si="5"/>
        <v>295</v>
      </c>
    </row>
    <row r="10" spans="1:19" x14ac:dyDescent="0.3">
      <c r="A10" s="4" t="s">
        <v>27</v>
      </c>
      <c r="B10" s="4">
        <v>1</v>
      </c>
      <c r="C10" s="5">
        <v>0</v>
      </c>
      <c r="D10" s="6"/>
      <c r="E10" s="5">
        <f t="shared" si="3"/>
        <v>0</v>
      </c>
      <c r="F10" s="7">
        <f>C10/B10</f>
        <v>0</v>
      </c>
      <c r="H10" s="4">
        <v>0</v>
      </c>
      <c r="I10" s="5">
        <f>H10*B10</f>
        <v>0</v>
      </c>
      <c r="J10" s="5">
        <f>I10-C10</f>
        <v>0</v>
      </c>
      <c r="K10" s="6" t="e">
        <f t="shared" si="2"/>
        <v>#DIV/0!</v>
      </c>
      <c r="M10" s="5">
        <v>0</v>
      </c>
      <c r="N10" s="5">
        <v>1</v>
      </c>
      <c r="O10" s="5">
        <f t="shared" si="4"/>
        <v>0</v>
      </c>
      <c r="Q10" t="s">
        <v>40</v>
      </c>
      <c r="R10" t="s">
        <v>40</v>
      </c>
      <c r="S10" t="s">
        <v>40</v>
      </c>
    </row>
    <row r="11" spans="1:19" x14ac:dyDescent="0.3">
      <c r="A11" s="4" t="s">
        <v>30</v>
      </c>
      <c r="B11" s="4">
        <v>110</v>
      </c>
      <c r="C11" s="5">
        <v>110000</v>
      </c>
      <c r="D11" s="6"/>
      <c r="E11" s="5">
        <f>D11*C11</f>
        <v>0</v>
      </c>
      <c r="F11" s="7">
        <f>C11/B11</f>
        <v>1000</v>
      </c>
      <c r="H11" s="4">
        <v>1000</v>
      </c>
      <c r="I11" s="5">
        <f>H11*B11</f>
        <v>110000</v>
      </c>
      <c r="J11" s="5">
        <f>I11-C11</f>
        <v>0</v>
      </c>
      <c r="K11" s="6">
        <f>(H11-F11)/F11</f>
        <v>0</v>
      </c>
      <c r="M11" s="5">
        <v>0</v>
      </c>
      <c r="N11" s="5">
        <v>1</v>
      </c>
      <c r="O11" s="5">
        <f>M11*N11</f>
        <v>0</v>
      </c>
      <c r="P11" s="19"/>
      <c r="Q11" t="s">
        <v>40</v>
      </c>
      <c r="R11" t="s">
        <v>40</v>
      </c>
      <c r="S11" t="s">
        <v>40</v>
      </c>
    </row>
    <row r="12" spans="1:19" x14ac:dyDescent="0.3">
      <c r="A12" s="4" t="s">
        <v>122</v>
      </c>
      <c r="B12" s="4">
        <v>1</v>
      </c>
      <c r="C12" s="5">
        <v>100000</v>
      </c>
      <c r="D12" s="6"/>
      <c r="E12" s="5">
        <f>D12*C12</f>
        <v>0</v>
      </c>
      <c r="F12" s="7">
        <f>C12/B12</f>
        <v>100000</v>
      </c>
      <c r="H12" s="4">
        <f>B12</f>
        <v>1</v>
      </c>
      <c r="I12" s="5">
        <f>C12</f>
        <v>100000</v>
      </c>
      <c r="J12" s="5">
        <f>I12-C12</f>
        <v>0</v>
      </c>
      <c r="K12" s="6"/>
      <c r="M12" s="5" t="s">
        <v>40</v>
      </c>
      <c r="N12" s="5" t="s">
        <v>40</v>
      </c>
      <c r="O12" s="5" t="s">
        <v>40</v>
      </c>
      <c r="Q12" s="30" t="s">
        <v>40</v>
      </c>
      <c r="R12" s="30" t="s">
        <v>40</v>
      </c>
      <c r="S12" s="29" t="s">
        <v>40</v>
      </c>
    </row>
    <row r="13" spans="1:19" x14ac:dyDescent="0.3">
      <c r="C13" s="15" t="s">
        <v>13</v>
      </c>
      <c r="D13" s="1"/>
      <c r="E13" s="8" t="s">
        <v>32</v>
      </c>
      <c r="I13" s="15" t="s">
        <v>14</v>
      </c>
      <c r="J13" s="15" t="s">
        <v>31</v>
      </c>
      <c r="O13" s="15" t="s">
        <v>33</v>
      </c>
    </row>
    <row r="14" spans="1:19" x14ac:dyDescent="0.3">
      <c r="C14" s="10">
        <f>SUM(C3:C12)</f>
        <v>1609240</v>
      </c>
      <c r="D14" s="1"/>
      <c r="E14" s="10">
        <f>SUM(E3:E11)</f>
        <v>20694.330399999999</v>
      </c>
      <c r="I14" s="10">
        <f>SUM(I3:I12)</f>
        <v>2013458.4526</v>
      </c>
      <c r="J14" s="10">
        <f>SUM(J3:J11)</f>
        <v>365129.45259999996</v>
      </c>
      <c r="O14" s="13">
        <f>SUM(O3:O11)</f>
        <v>13578.590400000001</v>
      </c>
    </row>
    <row r="15" spans="1:19" x14ac:dyDescent="0.3">
      <c r="C15" s="9" t="s">
        <v>29</v>
      </c>
      <c r="D15" s="1"/>
      <c r="I15">
        <f>(I14-C14)/C14</f>
        <v>0.25118593410554046</v>
      </c>
      <c r="O15" s="9" t="s">
        <v>21</v>
      </c>
    </row>
    <row r="16" spans="1:19" x14ac:dyDescent="0.3">
      <c r="C16" s="12">
        <f>E14/C14</f>
        <v>1.2859691779970669E-2</v>
      </c>
      <c r="D16" s="1"/>
      <c r="O16" s="12">
        <f>O14/C14</f>
        <v>8.4378901841863242E-3</v>
      </c>
    </row>
    <row r="17" spans="1:15" ht="15" thickBot="1" x14ac:dyDescent="0.35">
      <c r="O17" s="21" t="s">
        <v>37</v>
      </c>
    </row>
    <row r="18" spans="1:15" ht="15.6" thickTop="1" thickBot="1" x14ac:dyDescent="0.35">
      <c r="A18" s="27" t="s">
        <v>68</v>
      </c>
      <c r="B18" s="27" t="s">
        <v>11</v>
      </c>
      <c r="C18" s="27" t="s">
        <v>69</v>
      </c>
      <c r="O18" s="22">
        <f>SUM(O9,O7,O6,O4,O3)*0.05</f>
        <v>594.42701999999997</v>
      </c>
    </row>
    <row r="19" spans="1:15" ht="15" thickTop="1" x14ac:dyDescent="0.3">
      <c r="A19" t="s">
        <v>71</v>
      </c>
      <c r="B19" s="26">
        <v>545</v>
      </c>
      <c r="C19" s="24"/>
    </row>
    <row r="20" spans="1:15" x14ac:dyDescent="0.3">
      <c r="A20" t="s">
        <v>72</v>
      </c>
      <c r="B20" s="26">
        <v>640</v>
      </c>
      <c r="C20" s="24" t="s">
        <v>146</v>
      </c>
    </row>
    <row r="21" spans="1:15" x14ac:dyDescent="0.3">
      <c r="A21" t="s">
        <v>142</v>
      </c>
      <c r="B21" s="26">
        <v>1450</v>
      </c>
      <c r="C21" s="24" t="s">
        <v>147</v>
      </c>
      <c r="M21" s="20"/>
    </row>
    <row r="22" spans="1:15" x14ac:dyDescent="0.3">
      <c r="A22" t="s">
        <v>144</v>
      </c>
      <c r="B22" s="30">
        <v>1000</v>
      </c>
      <c r="C22" s="24" t="s">
        <v>148</v>
      </c>
    </row>
    <row r="23" spans="1:15" x14ac:dyDescent="0.3">
      <c r="A23" t="s">
        <v>149</v>
      </c>
      <c r="B23" s="30">
        <v>9750</v>
      </c>
      <c r="C23" s="24" t="s">
        <v>148</v>
      </c>
    </row>
    <row r="24" spans="1:15" x14ac:dyDescent="0.3">
      <c r="A24" t="s">
        <v>150</v>
      </c>
      <c r="B24" s="30">
        <v>7521</v>
      </c>
      <c r="C24" s="24" t="s">
        <v>151</v>
      </c>
    </row>
    <row r="25" spans="1:15" x14ac:dyDescent="0.3">
      <c r="B25" t="s">
        <v>11</v>
      </c>
    </row>
    <row r="26" spans="1:15" x14ac:dyDescent="0.3">
      <c r="B26" s="17">
        <f>SUM(B19:B24)</f>
        <v>20906</v>
      </c>
    </row>
  </sheetData>
  <sheetProtection algorithmName="SHA-512" hashValue="+zY/iVoNmnl3l1VFztGg26wzilwFvdpIENhLapqlr4zck39RMgOgVqdGEO7bz5GsveOQ7KMD8Uvo9XtUehoLLA==" saltValue="IB6QfNvGoGMffDIwdz3/PQ==" spinCount="100000" sheet="1" objects="1" scenarios="1"/>
  <mergeCells count="3">
    <mergeCell ref="A1:F1"/>
    <mergeCell ref="H1:K1"/>
    <mergeCell ref="M1:O1"/>
  </mergeCells>
  <hyperlinks>
    <hyperlink ref="Q7" r:id="rId1" xr:uid="{ABB1B2EB-2AFB-41C2-87BC-F8AEC93CF735}"/>
    <hyperlink ref="C21" r:id="rId2" xr:uid="{2AD5403B-9038-410B-B41A-4285EEFFB7F6}"/>
    <hyperlink ref="R9" r:id="rId3" xr:uid="{55E548E0-5DE4-4270-B2C6-97A0FAA13AA4}"/>
    <hyperlink ref="Q4" r:id="rId4" xr:uid="{5696BE2A-ABAD-4F6D-A658-782F813D4B32}"/>
    <hyperlink ref="Q3" r:id="rId5" xr:uid="{07FDD298-F565-40C1-BDDB-BD4899D075CC}"/>
  </hyperlinks>
  <pageMargins left="0.7" right="0.7" top="0.75" bottom="0.75" header="0.3" footer="0.3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992E-9C10-4404-A793-E8048B88C8B3}">
  <dimension ref="A1:S26"/>
  <sheetViews>
    <sheetView workbookViewId="0">
      <selection activeCell="F12" sqref="F12"/>
    </sheetView>
  </sheetViews>
  <sheetFormatPr defaultRowHeight="14.4" x14ac:dyDescent="0.3"/>
  <cols>
    <col min="2" max="2" width="11.109375" bestFit="1" customWidth="1"/>
    <col min="3" max="3" width="14.109375" bestFit="1" customWidth="1"/>
    <col min="4" max="4" width="9.33203125" bestFit="1" customWidth="1"/>
    <col min="5" max="5" width="15.5546875" bestFit="1" customWidth="1"/>
    <col min="6" max="6" width="13.109375" bestFit="1" customWidth="1"/>
    <col min="8" max="8" width="13.77734375" bestFit="1" customWidth="1"/>
    <col min="9" max="10" width="14.109375" bestFit="1" customWidth="1"/>
    <col min="11" max="11" width="9.88671875" bestFit="1" customWidth="1"/>
    <col min="13" max="13" width="12.109375" bestFit="1" customWidth="1"/>
    <col min="14" max="14" width="12.5546875" bestFit="1" customWidth="1"/>
    <col min="15" max="15" width="18.21875" bestFit="1" customWidth="1"/>
    <col min="17" max="17" width="32.33203125" bestFit="1" customWidth="1"/>
    <col min="18" max="18" width="17.109375" bestFit="1" customWidth="1"/>
    <col min="19" max="19" width="14.109375" bestFit="1" customWidth="1"/>
  </cols>
  <sheetData>
    <row r="1" spans="1:19" ht="20.399999999999999" thickBot="1" x14ac:dyDescent="0.45">
      <c r="A1" s="32" t="s">
        <v>17</v>
      </c>
      <c r="B1" s="32"/>
      <c r="C1" s="32"/>
      <c r="D1" s="32"/>
      <c r="E1" s="32"/>
      <c r="F1" s="32"/>
      <c r="H1" s="32" t="s">
        <v>18</v>
      </c>
      <c r="I1" s="32"/>
      <c r="J1" s="32"/>
      <c r="K1" s="32"/>
      <c r="M1" s="32" t="s">
        <v>24</v>
      </c>
      <c r="N1" s="32"/>
      <c r="O1" s="32"/>
      <c r="Q1" s="23" t="s">
        <v>35</v>
      </c>
      <c r="R1" s="23" t="s">
        <v>34</v>
      </c>
      <c r="S1" s="23" t="s">
        <v>36</v>
      </c>
    </row>
    <row r="2" spans="1:19" ht="15" thickTop="1" x14ac:dyDescent="0.3">
      <c r="A2" s="2" t="s">
        <v>6</v>
      </c>
      <c r="B2" s="2" t="s">
        <v>8</v>
      </c>
      <c r="C2" s="2" t="s">
        <v>7</v>
      </c>
      <c r="D2" s="3" t="s">
        <v>10</v>
      </c>
      <c r="E2" s="2" t="s">
        <v>9</v>
      </c>
      <c r="F2" s="2" t="s">
        <v>15</v>
      </c>
      <c r="H2" s="2" t="s">
        <v>23</v>
      </c>
      <c r="I2" s="2" t="s">
        <v>11</v>
      </c>
      <c r="J2" s="2" t="s">
        <v>12</v>
      </c>
      <c r="K2" s="2" t="s">
        <v>16</v>
      </c>
      <c r="M2" s="2" t="s">
        <v>19</v>
      </c>
      <c r="N2" s="2" t="s">
        <v>20</v>
      </c>
      <c r="O2" s="2" t="s">
        <v>22</v>
      </c>
    </row>
    <row r="3" spans="1:19" x14ac:dyDescent="0.3">
      <c r="A3" s="4" t="s">
        <v>0</v>
      </c>
      <c r="B3" s="4">
        <v>320000</v>
      </c>
      <c r="C3" s="5">
        <v>145056</v>
      </c>
      <c r="D3" s="6">
        <v>1.44E-2</v>
      </c>
      <c r="E3" s="5">
        <f>D3*C3</f>
        <v>2088.8063999999999</v>
      </c>
      <c r="F3" s="14">
        <f>C3/B3</f>
        <v>0.45329999999999998</v>
      </c>
      <c r="H3" s="4">
        <v>0.61499999999999999</v>
      </c>
      <c r="I3" s="5">
        <f t="shared" ref="I3:I9" si="0">H3*B3</f>
        <v>196800</v>
      </c>
      <c r="J3" s="5">
        <f t="shared" ref="J3:J9" si="1">I3-C3</f>
        <v>51744</v>
      </c>
      <c r="K3" s="6">
        <f t="shared" ref="K3:K10" si="2">(H3-F3)/F3</f>
        <v>0.35671740569159499</v>
      </c>
      <c r="M3" s="4">
        <v>17826</v>
      </c>
      <c r="N3" s="5">
        <f>H3</f>
        <v>0.61499999999999999</v>
      </c>
      <c r="O3" s="5">
        <f>N3*M3</f>
        <v>10962.99</v>
      </c>
      <c r="Q3" s="24" t="s">
        <v>160</v>
      </c>
      <c r="R3" t="s">
        <v>61</v>
      </c>
      <c r="S3">
        <f>M3*0.05</f>
        <v>891.30000000000007</v>
      </c>
    </row>
    <row r="4" spans="1:19" x14ac:dyDescent="0.3">
      <c r="A4" s="4" t="s">
        <v>1</v>
      </c>
      <c r="B4" s="4">
        <v>3556859</v>
      </c>
      <c r="C4" s="5">
        <v>225158</v>
      </c>
      <c r="D4" s="6">
        <v>0.01</v>
      </c>
      <c r="E4" s="5">
        <f t="shared" ref="E4:E10" si="3">D4*C4</f>
        <v>2251.58</v>
      </c>
      <c r="F4" s="14">
        <v>6.4329999999999998E-2</v>
      </c>
      <c r="H4" s="4">
        <v>4.4499999999999998E-2</v>
      </c>
      <c r="I4" s="5">
        <f>H4*B4</f>
        <v>158280.2255</v>
      </c>
      <c r="J4" s="5">
        <f>I4-C4</f>
        <v>-66877.7745</v>
      </c>
      <c r="K4" s="6">
        <f t="shared" si="2"/>
        <v>-0.30825431369501011</v>
      </c>
      <c r="M4" s="4">
        <v>15998.5</v>
      </c>
      <c r="N4" s="5">
        <f>H4</f>
        <v>4.4499999999999998E-2</v>
      </c>
      <c r="O4" s="5">
        <f t="shared" ref="O4:O10" si="4">N4*M4</f>
        <v>711.93324999999993</v>
      </c>
      <c r="Q4" s="24" t="s">
        <v>161</v>
      </c>
      <c r="R4" t="s">
        <v>61</v>
      </c>
      <c r="S4">
        <f t="shared" ref="S4:S9" si="5">M4*0.05</f>
        <v>799.92500000000007</v>
      </c>
    </row>
    <row r="5" spans="1:19" x14ac:dyDescent="0.3">
      <c r="A5" s="4" t="s">
        <v>2</v>
      </c>
      <c r="B5" s="4">
        <v>16813.5</v>
      </c>
      <c r="C5" s="5">
        <v>260990</v>
      </c>
      <c r="D5" s="6">
        <v>8.0000000000000002E-3</v>
      </c>
      <c r="E5" s="5">
        <f t="shared" si="3"/>
        <v>2087.92</v>
      </c>
      <c r="F5" s="7">
        <f>C5/B5</f>
        <v>15.522645493204864</v>
      </c>
      <c r="H5" s="4">
        <v>17.649999999999999</v>
      </c>
      <c r="I5" s="5">
        <f t="shared" si="0"/>
        <v>296758.27499999997</v>
      </c>
      <c r="J5" s="5">
        <f t="shared" si="1"/>
        <v>35768.274999999965</v>
      </c>
      <c r="K5" s="6">
        <f t="shared" si="2"/>
        <v>0.13704845013218894</v>
      </c>
      <c r="M5" s="4">
        <v>102</v>
      </c>
      <c r="N5" s="5">
        <f>H5</f>
        <v>17.649999999999999</v>
      </c>
      <c r="O5" s="5">
        <f t="shared" si="4"/>
        <v>1800.3</v>
      </c>
      <c r="Q5" s="24" t="s">
        <v>158</v>
      </c>
      <c r="R5" t="s">
        <v>61</v>
      </c>
      <c r="S5">
        <f t="shared" si="5"/>
        <v>5.1000000000000005</v>
      </c>
    </row>
    <row r="6" spans="1:19" x14ac:dyDescent="0.3">
      <c r="A6" s="4" t="s">
        <v>3</v>
      </c>
      <c r="B6" s="4">
        <v>128</v>
      </c>
      <c r="C6" s="5">
        <v>146000</v>
      </c>
      <c r="D6" s="6">
        <v>3.7000000000000002E-3</v>
      </c>
      <c r="E6" s="5">
        <f t="shared" si="3"/>
        <v>540.20000000000005</v>
      </c>
      <c r="F6" s="7">
        <f t="shared" ref="F6:F9" si="6">C6/B6</f>
        <v>1140.625</v>
      </c>
      <c r="H6" s="4">
        <v>1825</v>
      </c>
      <c r="I6" s="5">
        <f t="shared" si="0"/>
        <v>233600</v>
      </c>
      <c r="J6" s="5">
        <f t="shared" si="1"/>
        <v>87600</v>
      </c>
      <c r="K6" s="6">
        <f t="shared" si="2"/>
        <v>0.6</v>
      </c>
      <c r="M6" s="4">
        <v>0.5</v>
      </c>
      <c r="N6" s="5">
        <f>H6</f>
        <v>1825</v>
      </c>
      <c r="O6" s="5">
        <f t="shared" si="4"/>
        <v>912.5</v>
      </c>
      <c r="Q6" t="s">
        <v>44</v>
      </c>
      <c r="R6" t="s">
        <v>40</v>
      </c>
      <c r="S6" t="s">
        <v>40</v>
      </c>
    </row>
    <row r="7" spans="1:19" x14ac:dyDescent="0.3">
      <c r="A7" s="4" t="s">
        <v>4</v>
      </c>
      <c r="B7" s="4">
        <v>813088</v>
      </c>
      <c r="C7" s="5">
        <v>185036</v>
      </c>
      <c r="D7" s="6">
        <v>8.9999999999999993E-3</v>
      </c>
      <c r="E7" s="5">
        <f t="shared" si="3"/>
        <v>1665.3239999999998</v>
      </c>
      <c r="F7" s="14">
        <f t="shared" si="6"/>
        <v>0.22757192333425164</v>
      </c>
      <c r="H7" s="4">
        <v>0.46560000000000001</v>
      </c>
      <c r="I7" s="5">
        <f t="shared" si="0"/>
        <v>378573.77280000004</v>
      </c>
      <c r="J7" s="5">
        <f t="shared" si="1"/>
        <v>193537.77280000004</v>
      </c>
      <c r="K7" s="6">
        <f t="shared" si="2"/>
        <v>1.0459465876910441</v>
      </c>
      <c r="M7" s="4">
        <v>3572</v>
      </c>
      <c r="N7" s="5">
        <f>H7</f>
        <v>0.46560000000000001</v>
      </c>
      <c r="O7" s="5">
        <f>N7*M7</f>
        <v>1663.1232</v>
      </c>
      <c r="Q7" s="24" t="s">
        <v>159</v>
      </c>
      <c r="R7" t="s">
        <v>61</v>
      </c>
      <c r="S7">
        <f t="shared" si="5"/>
        <v>178.60000000000002</v>
      </c>
    </row>
    <row r="8" spans="1:19" x14ac:dyDescent="0.3">
      <c r="A8" s="4" t="s">
        <v>5</v>
      </c>
      <c r="B8" s="4">
        <v>1</v>
      </c>
      <c r="C8" s="5">
        <v>337000</v>
      </c>
      <c r="D8" s="6">
        <v>1.6500000000000001E-2</v>
      </c>
      <c r="E8" s="5">
        <f t="shared" si="3"/>
        <v>5560.5</v>
      </c>
      <c r="F8" s="7">
        <f t="shared" si="6"/>
        <v>337000</v>
      </c>
      <c r="H8" s="4">
        <v>384893</v>
      </c>
      <c r="I8" s="5">
        <f t="shared" si="0"/>
        <v>384893</v>
      </c>
      <c r="J8" s="5">
        <v>0</v>
      </c>
      <c r="K8" s="6">
        <f t="shared" si="2"/>
        <v>0.14211572700296735</v>
      </c>
      <c r="M8" s="5">
        <v>18804</v>
      </c>
      <c r="N8" s="5">
        <v>1</v>
      </c>
      <c r="O8" s="5">
        <f>N8*M8</f>
        <v>18804</v>
      </c>
      <c r="P8" s="17"/>
      <c r="Q8" s="25" t="s">
        <v>40</v>
      </c>
      <c r="R8" t="s">
        <v>40</v>
      </c>
      <c r="S8" t="s">
        <v>40</v>
      </c>
    </row>
    <row r="9" spans="1:19" x14ac:dyDescent="0.3">
      <c r="A9" s="4" t="s">
        <v>26</v>
      </c>
      <c r="B9" s="4">
        <v>1</v>
      </c>
      <c r="C9" s="5">
        <v>100000</v>
      </c>
      <c r="D9" s="6">
        <v>6.5000000000000002E-2</v>
      </c>
      <c r="E9" s="5">
        <f t="shared" si="3"/>
        <v>6500</v>
      </c>
      <c r="F9" s="7">
        <f t="shared" si="6"/>
        <v>100000</v>
      </c>
      <c r="H9" s="4">
        <v>120000</v>
      </c>
      <c r="I9" s="5">
        <f t="shared" si="0"/>
        <v>120000</v>
      </c>
      <c r="J9" s="5">
        <f t="shared" si="1"/>
        <v>20000</v>
      </c>
      <c r="K9" s="6">
        <f t="shared" si="2"/>
        <v>0.2</v>
      </c>
      <c r="M9" s="5"/>
      <c r="N9" s="5">
        <v>1</v>
      </c>
      <c r="O9" s="5">
        <f>N9*M9</f>
        <v>0</v>
      </c>
      <c r="P9" s="17"/>
      <c r="Q9" t="s">
        <v>139</v>
      </c>
      <c r="R9" s="24"/>
      <c r="S9">
        <f t="shared" si="5"/>
        <v>0</v>
      </c>
    </row>
    <row r="10" spans="1:19" x14ac:dyDescent="0.3">
      <c r="A10" s="4" t="s">
        <v>27</v>
      </c>
      <c r="B10" s="4">
        <v>1</v>
      </c>
      <c r="C10" s="5">
        <v>0</v>
      </c>
      <c r="D10" s="6"/>
      <c r="E10" s="5">
        <f t="shared" si="3"/>
        <v>0</v>
      </c>
      <c r="F10" s="7">
        <f>C10/B10</f>
        <v>0</v>
      </c>
      <c r="H10" s="4">
        <v>0</v>
      </c>
      <c r="I10" s="5">
        <f>H10*B10</f>
        <v>0</v>
      </c>
      <c r="J10" s="5">
        <f>I10-C10</f>
        <v>0</v>
      </c>
      <c r="K10" s="6" t="e">
        <f t="shared" si="2"/>
        <v>#DIV/0!</v>
      </c>
      <c r="M10" s="5">
        <v>0</v>
      </c>
      <c r="N10" s="5">
        <v>1</v>
      </c>
      <c r="O10" s="5">
        <f t="shared" si="4"/>
        <v>0</v>
      </c>
      <c r="Q10" t="s">
        <v>40</v>
      </c>
      <c r="R10" t="s">
        <v>40</v>
      </c>
      <c r="S10" t="s">
        <v>40</v>
      </c>
    </row>
    <row r="11" spans="1:19" x14ac:dyDescent="0.3">
      <c r="A11" s="4" t="s">
        <v>30</v>
      </c>
      <c r="B11" s="4">
        <v>110</v>
      </c>
      <c r="C11" s="5">
        <v>110000</v>
      </c>
      <c r="D11" s="6"/>
      <c r="E11" s="5">
        <f>D11*C11</f>
        <v>0</v>
      </c>
      <c r="F11" s="7">
        <f>C11/B11</f>
        <v>1000</v>
      </c>
      <c r="H11" s="4">
        <v>1000</v>
      </c>
      <c r="I11" s="5">
        <f>H11*B11</f>
        <v>110000</v>
      </c>
      <c r="J11" s="5">
        <f>I11-C11</f>
        <v>0</v>
      </c>
      <c r="K11" s="6">
        <f>(H11-F11)/F11</f>
        <v>0</v>
      </c>
      <c r="M11" s="5">
        <v>0</v>
      </c>
      <c r="N11" s="5">
        <v>1</v>
      </c>
      <c r="O11" s="5">
        <f>M11*N11</f>
        <v>0</v>
      </c>
      <c r="P11" s="19"/>
      <c r="Q11" t="s">
        <v>40</v>
      </c>
      <c r="R11" t="s">
        <v>40</v>
      </c>
      <c r="S11" t="s">
        <v>40</v>
      </c>
    </row>
    <row r="12" spans="1:19" x14ac:dyDescent="0.3">
      <c r="A12" s="4" t="s">
        <v>122</v>
      </c>
      <c r="B12" s="4">
        <v>1</v>
      </c>
      <c r="C12" s="5">
        <v>100000</v>
      </c>
      <c r="D12" s="6"/>
      <c r="E12" s="5">
        <f>D12*C12</f>
        <v>0</v>
      </c>
      <c r="F12" s="7">
        <f>C12/B12</f>
        <v>100000</v>
      </c>
      <c r="H12" s="4">
        <f>B12</f>
        <v>1</v>
      </c>
      <c r="I12" s="5">
        <f>C12</f>
        <v>100000</v>
      </c>
      <c r="J12" s="5">
        <f>I12-C12</f>
        <v>0</v>
      </c>
      <c r="K12" s="6"/>
      <c r="M12" s="5" t="s">
        <v>40</v>
      </c>
      <c r="N12" s="5" t="s">
        <v>40</v>
      </c>
      <c r="O12" s="5" t="s">
        <v>40</v>
      </c>
      <c r="Q12" s="30" t="s">
        <v>40</v>
      </c>
      <c r="R12" s="30" t="s">
        <v>40</v>
      </c>
      <c r="S12" s="29" t="s">
        <v>40</v>
      </c>
    </row>
    <row r="13" spans="1:19" x14ac:dyDescent="0.3">
      <c r="C13" s="15" t="s">
        <v>13</v>
      </c>
      <c r="D13" s="1"/>
      <c r="E13" s="8" t="s">
        <v>32</v>
      </c>
      <c r="I13" s="15" t="s">
        <v>14</v>
      </c>
      <c r="J13" s="15" t="s">
        <v>31</v>
      </c>
      <c r="O13" s="15" t="s">
        <v>33</v>
      </c>
    </row>
    <row r="14" spans="1:19" x14ac:dyDescent="0.3">
      <c r="C14" s="10">
        <f>SUM(C3:C12)</f>
        <v>1609240</v>
      </c>
      <c r="D14" s="1"/>
      <c r="E14" s="10">
        <f>SUM(E3:E11)</f>
        <v>20694.330399999999</v>
      </c>
      <c r="I14" s="10">
        <f>SUM(I3:I12)</f>
        <v>1978905.2733</v>
      </c>
      <c r="J14" s="10">
        <f>SUM(J3:J11)</f>
        <v>321772.2733</v>
      </c>
      <c r="O14" s="13">
        <f>SUM(O3:O11)</f>
        <v>34854.846449999997</v>
      </c>
    </row>
    <row r="15" spans="1:19" x14ac:dyDescent="0.3">
      <c r="C15" s="9" t="s">
        <v>29</v>
      </c>
      <c r="D15" s="1"/>
      <c r="I15">
        <f>(I14-C14)/C14</f>
        <v>0.22971419632870174</v>
      </c>
      <c r="O15" s="9" t="s">
        <v>21</v>
      </c>
    </row>
    <row r="16" spans="1:19" x14ac:dyDescent="0.3">
      <c r="C16" s="12">
        <f>E14/C14</f>
        <v>1.2859691779970669E-2</v>
      </c>
      <c r="D16" s="1"/>
      <c r="O16" s="12">
        <f>O14/C14</f>
        <v>2.1659197167607069E-2</v>
      </c>
    </row>
    <row r="17" spans="1:15" ht="15" thickBot="1" x14ac:dyDescent="0.35">
      <c r="O17" s="21" t="s">
        <v>37</v>
      </c>
    </row>
    <row r="18" spans="1:15" ht="15.6" thickTop="1" thickBot="1" x14ac:dyDescent="0.35">
      <c r="A18" s="27" t="s">
        <v>68</v>
      </c>
      <c r="B18" s="27" t="s">
        <v>11</v>
      </c>
      <c r="C18" s="27" t="s">
        <v>69</v>
      </c>
      <c r="O18" s="22">
        <f>SUM(O9,O7,O6,O4,O3)*0.05</f>
        <v>712.52732250000008</v>
      </c>
    </row>
    <row r="19" spans="1:15" ht="15" thickTop="1" x14ac:dyDescent="0.3">
      <c r="A19" t="s">
        <v>71</v>
      </c>
      <c r="B19" s="26">
        <v>495</v>
      </c>
      <c r="C19" s="24" t="s">
        <v>157</v>
      </c>
    </row>
    <row r="20" spans="1:15" x14ac:dyDescent="0.3">
      <c r="A20" t="s">
        <v>72</v>
      </c>
      <c r="B20" s="26">
        <v>640</v>
      </c>
      <c r="C20" s="24" t="s">
        <v>162</v>
      </c>
    </row>
    <row r="21" spans="1:15" x14ac:dyDescent="0.3">
      <c r="A21" t="s">
        <v>155</v>
      </c>
      <c r="B21" s="26">
        <v>500</v>
      </c>
      <c r="C21" s="24" t="s">
        <v>156</v>
      </c>
      <c r="M21" s="20"/>
    </row>
    <row r="22" spans="1:15" x14ac:dyDescent="0.3">
      <c r="A22" t="s">
        <v>164</v>
      </c>
      <c r="B22" s="30">
        <v>10540</v>
      </c>
      <c r="C22" s="24" t="s">
        <v>163</v>
      </c>
    </row>
    <row r="23" spans="1:15" x14ac:dyDescent="0.3">
      <c r="B23" s="30"/>
      <c r="C23" s="24"/>
    </row>
    <row r="24" spans="1:15" x14ac:dyDescent="0.3">
      <c r="B24" s="30"/>
      <c r="C24" s="24"/>
    </row>
    <row r="25" spans="1:15" x14ac:dyDescent="0.3">
      <c r="B25" t="s">
        <v>11</v>
      </c>
    </row>
    <row r="26" spans="1:15" x14ac:dyDescent="0.3">
      <c r="B26" s="17">
        <f>SUM(B19:B24)</f>
        <v>12175</v>
      </c>
    </row>
  </sheetData>
  <sheetProtection algorithmName="SHA-512" hashValue="TS/0XMC+/cgUarU2piOUtOTs2oBQneKE4KnQzAlhhZjAExo+/Ukj6GcyFeEzI/SWegvwUKaE9b5EjfwO3FU9Dw==" saltValue="YZZVi8rTZo0En5j/maRJgw==" spinCount="100000" sheet="1" objects="1" scenarios="1"/>
  <mergeCells count="3">
    <mergeCell ref="A1:F1"/>
    <mergeCell ref="H1:K1"/>
    <mergeCell ref="M1:O1"/>
  </mergeCells>
  <hyperlinks>
    <hyperlink ref="Q3" r:id="rId1" display="https://explorer.flux.zelcore.io/tx/67c80f69e24de8523274fb28c3de85f46c70c114c484efd7f3d91c31326cc5bf ; " xr:uid="{B71143CE-0F2B-438D-A67E-02A39283D38E}"/>
    <hyperlink ref="Q7" r:id="rId2" xr:uid="{BCDB98BA-E620-4B08-9837-D0B5655F4C6C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August 11 2022</vt:lpstr>
      <vt:lpstr>September 01 2022</vt:lpstr>
      <vt:lpstr>October 01 2022</vt:lpstr>
      <vt:lpstr>November 01 2022</vt:lpstr>
      <vt:lpstr>December 01, 2022</vt:lpstr>
      <vt:lpstr>January, 2023</vt:lpstr>
      <vt:lpstr>February, 2023</vt:lpstr>
      <vt:lpstr>March, 2023</vt:lpstr>
      <vt:lpstr>April, 2023</vt:lpstr>
      <vt:lpstr>May,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Wolfer</dc:creator>
  <cp:lastModifiedBy>Wolfer Finance</cp:lastModifiedBy>
  <dcterms:created xsi:type="dcterms:W3CDTF">2022-06-22T04:28:22Z</dcterms:created>
  <dcterms:modified xsi:type="dcterms:W3CDTF">2023-05-02T18:11:22Z</dcterms:modified>
</cp:coreProperties>
</file>